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ata\Clients\Clients\Personal\IDES\"/>
    </mc:Choice>
  </mc:AlternateContent>
  <bookViews>
    <workbookView xWindow="0" yWindow="0" windowWidth="24000" windowHeight="11010"/>
  </bookViews>
  <sheets>
    <sheet name="As of 2-7" sheetId="5" r:id="rId1"/>
    <sheet name="As of January 23 with Garden" sheetId="4" r:id="rId2"/>
    <sheet name="As of January 23" sheetId="3" r:id="rId3"/>
    <sheet name="As of November 28" sheetId="1" r:id="rId4"/>
    <sheet name="Sheet2" sheetId="2" r:id="rId5"/>
  </sheets>
  <definedNames>
    <definedName name="_xlnm.Print_Area" localSheetId="0">'As of 2-7'!$A$1:$E$115</definedName>
    <definedName name="_xlnm.Print_Area" localSheetId="1">'As of January 23 with Garden'!$A$1:$E$115</definedName>
    <definedName name="_xlnm.Print_Titles" localSheetId="0">'As of 2-7'!$1:$2</definedName>
    <definedName name="_xlnm.Print_Titles" localSheetId="1">'As of January 23 with Garden'!$1:$2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1" i="5" l="1"/>
  <c r="D59" i="5"/>
  <c r="D93" i="5"/>
  <c r="D87" i="5"/>
  <c r="D50" i="5"/>
  <c r="D43" i="5"/>
  <c r="D48" i="5"/>
  <c r="D114" i="5" l="1"/>
  <c r="D108" i="5"/>
  <c r="C108" i="5"/>
  <c r="B101" i="5"/>
  <c r="C99" i="5"/>
  <c r="C101" i="5" s="1"/>
  <c r="C112" i="5" s="1"/>
  <c r="B99" i="5"/>
  <c r="E96" i="5"/>
  <c r="D96" i="5"/>
  <c r="E95" i="5"/>
  <c r="E94" i="5"/>
  <c r="E93" i="5"/>
  <c r="D92" i="5"/>
  <c r="E92" i="5" s="1"/>
  <c r="D91" i="5"/>
  <c r="E90" i="5"/>
  <c r="D90" i="5"/>
  <c r="E89" i="5"/>
  <c r="D88" i="5"/>
  <c r="E88" i="5" s="1"/>
  <c r="D99" i="5"/>
  <c r="D84" i="5"/>
  <c r="E84" i="5" s="1"/>
  <c r="C84" i="5"/>
  <c r="E83" i="5"/>
  <c r="E82" i="5"/>
  <c r="E81" i="5"/>
  <c r="E80" i="5"/>
  <c r="D74" i="5"/>
  <c r="C74" i="5"/>
  <c r="C76" i="5" s="1"/>
  <c r="C113" i="5" s="1"/>
  <c r="E73" i="5"/>
  <c r="E72" i="5"/>
  <c r="E71" i="5"/>
  <c r="E70" i="5"/>
  <c r="E69" i="5"/>
  <c r="C66" i="5"/>
  <c r="E65" i="5"/>
  <c r="E64" i="5"/>
  <c r="E63" i="5"/>
  <c r="D63" i="5"/>
  <c r="E62" i="5"/>
  <c r="D61" i="5"/>
  <c r="E61" i="5" s="1"/>
  <c r="D60" i="5"/>
  <c r="E60" i="5" s="1"/>
  <c r="E59" i="5"/>
  <c r="C56" i="5"/>
  <c r="B56" i="5"/>
  <c r="B76" i="5" s="1"/>
  <c r="E55" i="5"/>
  <c r="E54" i="5"/>
  <c r="D53" i="5"/>
  <c r="E53" i="5" s="1"/>
  <c r="E52" i="5"/>
  <c r="E51" i="5"/>
  <c r="E50" i="5"/>
  <c r="D49" i="5"/>
  <c r="E49" i="5" s="1"/>
  <c r="D56" i="5"/>
  <c r="E56" i="5" s="1"/>
  <c r="C45" i="5"/>
  <c r="B45" i="5"/>
  <c r="E44" i="5"/>
  <c r="D45" i="5"/>
  <c r="E45" i="5" s="1"/>
  <c r="E42" i="5"/>
  <c r="E41" i="5"/>
  <c r="E40" i="5"/>
  <c r="D37" i="5"/>
  <c r="E37" i="5" s="1"/>
  <c r="C37" i="5"/>
  <c r="B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D22" i="5"/>
  <c r="E22" i="5" s="1"/>
  <c r="D19" i="5"/>
  <c r="E19" i="5" s="1"/>
  <c r="C19" i="5"/>
  <c r="B19" i="5"/>
  <c r="E18" i="5"/>
  <c r="E17" i="5"/>
  <c r="E16" i="5"/>
  <c r="E15" i="5"/>
  <c r="E14" i="5"/>
  <c r="E13" i="5"/>
  <c r="E12" i="5"/>
  <c r="D9" i="5"/>
  <c r="E9" i="5" s="1"/>
  <c r="C9" i="5"/>
  <c r="B9" i="5"/>
  <c r="E8" i="5"/>
  <c r="E7" i="5"/>
  <c r="E6" i="5"/>
  <c r="D5" i="5"/>
  <c r="E5" i="5" s="1"/>
  <c r="D101" i="5" l="1"/>
  <c r="D112" i="5" s="1"/>
  <c r="C115" i="5"/>
  <c r="D66" i="5"/>
  <c r="E66" i="5" s="1"/>
  <c r="E74" i="5"/>
  <c r="E87" i="5"/>
  <c r="E99" i="5" s="1"/>
  <c r="E101" i="5" s="1"/>
  <c r="E48" i="5"/>
  <c r="E43" i="5"/>
  <c r="D87" i="4"/>
  <c r="D113" i="4"/>
  <c r="E19" i="4"/>
  <c r="D66" i="4"/>
  <c r="D63" i="4"/>
  <c r="D60" i="4"/>
  <c r="D59" i="4"/>
  <c r="D81" i="4"/>
  <c r="E59" i="4"/>
  <c r="D84" i="4"/>
  <c r="E84" i="4" s="1"/>
  <c r="D114" i="4"/>
  <c r="D108" i="4"/>
  <c r="D50" i="4"/>
  <c r="D53" i="4"/>
  <c r="E53" i="4" s="1"/>
  <c r="D61" i="4"/>
  <c r="C108" i="4"/>
  <c r="C99" i="4"/>
  <c r="C101" i="4" s="1"/>
  <c r="C112" i="4" s="1"/>
  <c r="B99" i="4"/>
  <c r="B101" i="4" s="1"/>
  <c r="D96" i="4"/>
  <c r="E96" i="4" s="1"/>
  <c r="E95" i="4"/>
  <c r="E94" i="4"/>
  <c r="E93" i="4"/>
  <c r="E92" i="4"/>
  <c r="D92" i="4"/>
  <c r="D91" i="4"/>
  <c r="D90" i="4"/>
  <c r="E90" i="4" s="1"/>
  <c r="E89" i="4"/>
  <c r="D88" i="4"/>
  <c r="E87" i="4"/>
  <c r="C84" i="4"/>
  <c r="E83" i="4"/>
  <c r="E82" i="4"/>
  <c r="E80" i="4"/>
  <c r="D74" i="4"/>
  <c r="E74" i="4" s="1"/>
  <c r="C74" i="4"/>
  <c r="E73" i="4"/>
  <c r="E72" i="4"/>
  <c r="E71" i="4"/>
  <c r="E70" i="4"/>
  <c r="E69" i="4"/>
  <c r="C66" i="4"/>
  <c r="E66" i="4" s="1"/>
  <c r="E65" i="4"/>
  <c r="E64" i="4"/>
  <c r="E62" i="4"/>
  <c r="E61" i="4"/>
  <c r="E60" i="4"/>
  <c r="C56" i="4"/>
  <c r="B56" i="4"/>
  <c r="E55" i="4"/>
  <c r="E54" i="4"/>
  <c r="E52" i="4"/>
  <c r="E51" i="4"/>
  <c r="E50" i="4"/>
  <c r="D49" i="4"/>
  <c r="E49" i="4" s="1"/>
  <c r="D48" i="4"/>
  <c r="E48" i="4" s="1"/>
  <c r="C45" i="4"/>
  <c r="B45" i="4"/>
  <c r="E44" i="4"/>
  <c r="D43" i="4"/>
  <c r="D45" i="4" s="1"/>
  <c r="E45" i="4" s="1"/>
  <c r="E42" i="4"/>
  <c r="E41" i="4"/>
  <c r="E40" i="4"/>
  <c r="D37" i="4"/>
  <c r="E37" i="4" s="1"/>
  <c r="C37" i="4"/>
  <c r="B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D22" i="4"/>
  <c r="E22" i="4" s="1"/>
  <c r="D19" i="4"/>
  <c r="C19" i="4"/>
  <c r="B19" i="4"/>
  <c r="E18" i="4"/>
  <c r="E17" i="4"/>
  <c r="E16" i="4"/>
  <c r="E15" i="4"/>
  <c r="E14" i="4"/>
  <c r="E13" i="4"/>
  <c r="E12" i="4"/>
  <c r="D9" i="4"/>
  <c r="E9" i="4" s="1"/>
  <c r="C9" i="4"/>
  <c r="B9" i="4"/>
  <c r="E8" i="4"/>
  <c r="E7" i="4"/>
  <c r="E6" i="4"/>
  <c r="D5" i="4"/>
  <c r="E5" i="4" s="1"/>
  <c r="D87" i="3"/>
  <c r="D56" i="3"/>
  <c r="D91" i="3"/>
  <c r="D88" i="3"/>
  <c r="D48" i="3"/>
  <c r="E53" i="3"/>
  <c r="D43" i="3"/>
  <c r="D22" i="3"/>
  <c r="D5" i="3"/>
  <c r="D92" i="3"/>
  <c r="E76" i="5" l="1"/>
  <c r="D76" i="5"/>
  <c r="D113" i="5" s="1"/>
  <c r="D115" i="5" s="1"/>
  <c r="D116" i="5" s="1"/>
  <c r="C76" i="4"/>
  <c r="C113" i="4" s="1"/>
  <c r="C115" i="4" s="1"/>
  <c r="B76" i="4"/>
  <c r="D99" i="4"/>
  <c r="D101" i="4" s="1"/>
  <c r="D112" i="4" s="1"/>
  <c r="D115" i="4" s="1"/>
  <c r="E81" i="4"/>
  <c r="E63" i="4"/>
  <c r="D56" i="4"/>
  <c r="E56" i="4" s="1"/>
  <c r="E76" i="4" s="1"/>
  <c r="E43" i="4"/>
  <c r="E88" i="4"/>
  <c r="E99" i="4" s="1"/>
  <c r="E101" i="4" s="1"/>
  <c r="C108" i="3"/>
  <c r="C111" i="3" s="1"/>
  <c r="C99" i="3"/>
  <c r="C101" i="3" s="1"/>
  <c r="C112" i="3" s="1"/>
  <c r="B99" i="3"/>
  <c r="B101" i="3" s="1"/>
  <c r="E98" i="3"/>
  <c r="E97" i="3"/>
  <c r="D96" i="3"/>
  <c r="E96" i="3" s="1"/>
  <c r="E95" i="3"/>
  <c r="E94" i="3"/>
  <c r="E93" i="3"/>
  <c r="E92" i="3"/>
  <c r="E90" i="3"/>
  <c r="D90" i="3"/>
  <c r="E89" i="3"/>
  <c r="E88" i="3"/>
  <c r="D84" i="3"/>
  <c r="C84" i="3"/>
  <c r="E83" i="3"/>
  <c r="E82" i="3"/>
  <c r="E81" i="3"/>
  <c r="E80" i="3"/>
  <c r="D74" i="3"/>
  <c r="E74" i="3" s="1"/>
  <c r="C74" i="3"/>
  <c r="E73" i="3"/>
  <c r="E72" i="3"/>
  <c r="E71" i="3"/>
  <c r="E70" i="3"/>
  <c r="E69" i="3"/>
  <c r="D66" i="3"/>
  <c r="C66" i="3"/>
  <c r="E65" i="3"/>
  <c r="E64" i="3"/>
  <c r="E63" i="3"/>
  <c r="E62" i="3"/>
  <c r="E61" i="3"/>
  <c r="E60" i="3"/>
  <c r="E59" i="3"/>
  <c r="C56" i="3"/>
  <c r="B56" i="3"/>
  <c r="E55" i="3"/>
  <c r="E54" i="3"/>
  <c r="E52" i="3"/>
  <c r="E51" i="3"/>
  <c r="E50" i="3"/>
  <c r="D49" i="3"/>
  <c r="E48" i="3"/>
  <c r="D45" i="3"/>
  <c r="E45" i="3" s="1"/>
  <c r="C45" i="3"/>
  <c r="B45" i="3"/>
  <c r="E44" i="3"/>
  <c r="E43" i="3"/>
  <c r="E42" i="3"/>
  <c r="E41" i="3"/>
  <c r="E40" i="3"/>
  <c r="D37" i="3"/>
  <c r="E37" i="3" s="1"/>
  <c r="C37" i="3"/>
  <c r="B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D19" i="3"/>
  <c r="C19" i="3"/>
  <c r="B19" i="3"/>
  <c r="E18" i="3"/>
  <c r="E17" i="3"/>
  <c r="E16" i="3"/>
  <c r="E15" i="3"/>
  <c r="E14" i="3"/>
  <c r="E13" i="3"/>
  <c r="E12" i="3"/>
  <c r="D9" i="3"/>
  <c r="E9" i="3" s="1"/>
  <c r="C9" i="3"/>
  <c r="B9" i="3"/>
  <c r="E8" i="3"/>
  <c r="E7" i="3"/>
  <c r="E6" i="3"/>
  <c r="E5" i="3"/>
  <c r="E97" i="1"/>
  <c r="E99" i="1"/>
  <c r="E87" i="1"/>
  <c r="E88" i="1"/>
  <c r="E89" i="1"/>
  <c r="E90" i="1"/>
  <c r="E91" i="1"/>
  <c r="E92" i="1"/>
  <c r="E93" i="1"/>
  <c r="E94" i="1"/>
  <c r="E95" i="1"/>
  <c r="E96" i="1"/>
  <c r="E86" i="1"/>
  <c r="E83" i="1"/>
  <c r="E82" i="1"/>
  <c r="E81" i="1"/>
  <c r="E80" i="1"/>
  <c r="E79" i="1"/>
  <c r="E69" i="1"/>
  <c r="E70" i="1"/>
  <c r="E71" i="1"/>
  <c r="E72" i="1"/>
  <c r="E73" i="1"/>
  <c r="E68" i="1"/>
  <c r="E65" i="1"/>
  <c r="E64" i="1"/>
  <c r="E63" i="1"/>
  <c r="E62" i="1"/>
  <c r="E61" i="1"/>
  <c r="E60" i="1"/>
  <c r="E59" i="1"/>
  <c r="E58" i="1"/>
  <c r="E55" i="1"/>
  <c r="E49" i="1"/>
  <c r="E50" i="1"/>
  <c r="E51" i="1"/>
  <c r="E52" i="1"/>
  <c r="E53" i="1"/>
  <c r="E54" i="1"/>
  <c r="E48" i="1"/>
  <c r="E41" i="1"/>
  <c r="E42" i="1"/>
  <c r="E43" i="1"/>
  <c r="E44" i="1"/>
  <c r="E45" i="1"/>
  <c r="E40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22" i="1"/>
  <c r="E19" i="1"/>
  <c r="E13" i="1"/>
  <c r="E14" i="1"/>
  <c r="E15" i="1"/>
  <c r="E16" i="1"/>
  <c r="E17" i="1"/>
  <c r="E18" i="1"/>
  <c r="E12" i="1"/>
  <c r="E6" i="1"/>
  <c r="E7" i="1"/>
  <c r="E8" i="1"/>
  <c r="E5" i="1"/>
  <c r="C106" i="1"/>
  <c r="C109" i="1" s="1"/>
  <c r="C97" i="1"/>
  <c r="B97" i="1"/>
  <c r="B99" i="1" s="1"/>
  <c r="D94" i="1"/>
  <c r="D89" i="1"/>
  <c r="D87" i="1"/>
  <c r="D86" i="1"/>
  <c r="D83" i="1"/>
  <c r="C83" i="1"/>
  <c r="D73" i="1"/>
  <c r="C73" i="1"/>
  <c r="C75" i="1" s="1"/>
  <c r="C111" i="1" s="1"/>
  <c r="D65" i="1"/>
  <c r="C65" i="1"/>
  <c r="D55" i="1"/>
  <c r="C55" i="1"/>
  <c r="B55" i="1"/>
  <c r="D49" i="1"/>
  <c r="D45" i="1"/>
  <c r="C45" i="1"/>
  <c r="B45" i="1"/>
  <c r="D37" i="1"/>
  <c r="E37" i="1" s="1"/>
  <c r="C37" i="1"/>
  <c r="B37" i="1"/>
  <c r="B75" i="1" s="1"/>
  <c r="D19" i="1"/>
  <c r="C19" i="1"/>
  <c r="B19" i="1"/>
  <c r="D9" i="1"/>
  <c r="E9" i="1" s="1"/>
  <c r="C9" i="1"/>
  <c r="B9" i="1"/>
  <c r="D76" i="4" l="1"/>
  <c r="E56" i="3"/>
  <c r="E76" i="3" s="1"/>
  <c r="E66" i="3"/>
  <c r="E19" i="3"/>
  <c r="E84" i="3"/>
  <c r="C76" i="3"/>
  <c r="C113" i="3" s="1"/>
  <c r="B76" i="3"/>
  <c r="D99" i="3"/>
  <c r="D101" i="3" s="1"/>
  <c r="D112" i="3" s="1"/>
  <c r="C115" i="3"/>
  <c r="D76" i="3"/>
  <c r="D113" i="3" s="1"/>
  <c r="E49" i="3"/>
  <c r="E87" i="3"/>
  <c r="E99" i="3" s="1"/>
  <c r="E101" i="3" s="1"/>
  <c r="E75" i="1"/>
  <c r="D75" i="1"/>
  <c r="D111" i="1" s="1"/>
  <c r="D97" i="1"/>
  <c r="D99" i="1" s="1"/>
  <c r="D110" i="1" s="1"/>
  <c r="C99" i="1"/>
  <c r="C110" i="1" s="1"/>
  <c r="C112" i="1" s="1"/>
  <c r="D116" i="4" l="1"/>
  <c r="D115" i="3"/>
  <c r="D112" i="1"/>
  <c r="D114" i="1" s="1"/>
</calcChain>
</file>

<file path=xl/sharedStrings.xml><?xml version="1.0" encoding="utf-8"?>
<sst xmlns="http://schemas.openxmlformats.org/spreadsheetml/2006/main" count="510" uniqueCount="97">
  <si>
    <t>Proposed Budget 2016-17 for IDES PTO as of 10-11-16</t>
  </si>
  <si>
    <t>EXPENSES</t>
  </si>
  <si>
    <t>1. Adminstration</t>
  </si>
  <si>
    <t>2015-16</t>
  </si>
  <si>
    <t>2016-17</t>
  </si>
  <si>
    <t xml:space="preserve">Actual </t>
  </si>
  <si>
    <t>Bank Fees</t>
  </si>
  <si>
    <t>Stationery (Letterheads/Envelopes/Printing/Stamps)</t>
  </si>
  <si>
    <t>CPA Fees - 990 Non profit filing/Solicitation license</t>
  </si>
  <si>
    <t>CPA Accounting fees ($250 per month)</t>
  </si>
  <si>
    <t>Subtotal:</t>
  </si>
  <si>
    <t>2. School Educational Programs</t>
  </si>
  <si>
    <t>5th Grade Field Trip (Washington DC) - Scholarships</t>
  </si>
  <si>
    <t>4th grade Field Trip - Scholarships</t>
  </si>
  <si>
    <t>3rd Grade Field Trip (Camp Greenville) Scholarships</t>
  </si>
  <si>
    <t>Cultural Arts (Artist In Residence)</t>
  </si>
  <si>
    <t>Readers Read Bookstore</t>
  </si>
  <si>
    <t>Battle of the Books (T Shirts)</t>
  </si>
  <si>
    <t>School Outreach (Family Activity Nights)</t>
  </si>
  <si>
    <t>3. Teacher &amp; Classroom Support</t>
  </si>
  <si>
    <t>Teacher Supply Stipend ($150 x 31 teachers)</t>
  </si>
  <si>
    <t>K Grade General Fund (Paid Quarterly)</t>
  </si>
  <si>
    <t>1st Grade General Fund (Paid Quarterly)</t>
  </si>
  <si>
    <t>2nd Grade General Fund (Paid Quarterly)</t>
  </si>
  <si>
    <t>3rd Grade General Fund (Paid Quarterly)</t>
  </si>
  <si>
    <t>4th Grade General Fund (Paid Quarterly)</t>
  </si>
  <si>
    <t>5th Grade General Fund (Paid Quarterly)</t>
  </si>
  <si>
    <t>PreK Classroom</t>
  </si>
  <si>
    <t>Specialist (BE, Spanish, Title I, AIG, Art, Music, PE)</t>
  </si>
  <si>
    <t>General School Fund</t>
  </si>
  <si>
    <t>Year Book</t>
  </si>
  <si>
    <t>Diversity Committee</t>
  </si>
  <si>
    <t>Teacher Appreciation Week</t>
  </si>
  <si>
    <t>Thank You Gifts</t>
  </si>
  <si>
    <t>Student Directory</t>
  </si>
  <si>
    <t>4. PTO Functions, Meetings &amp; Supplies</t>
  </si>
  <si>
    <t>LC Discretionary Spending Fund</t>
  </si>
  <si>
    <t>Open House - Ice Cream</t>
  </si>
  <si>
    <t>PTO General Meeting Food (Pizza)</t>
  </si>
  <si>
    <t>PTO General Meeting Childcare</t>
  </si>
  <si>
    <t>Increased PTO Signage and Notice Boards</t>
  </si>
  <si>
    <t>5. Fundraisers &amp; Socials</t>
  </si>
  <si>
    <t>Hot Chocolate 10k</t>
  </si>
  <si>
    <t>Breakfast of Hope</t>
  </si>
  <si>
    <t>School Dances (Halloween, Grade, etc.)</t>
  </si>
  <si>
    <t>Annual Giving/Appeal Letter</t>
  </si>
  <si>
    <t>Spring Dance</t>
  </si>
  <si>
    <t>Hospitality (coffee pot, dishes, pots, etc.)</t>
  </si>
  <si>
    <t>Go Local Cards</t>
  </si>
  <si>
    <t>6. IDES Learning Garden</t>
  </si>
  <si>
    <t>Garden Coordinator stipend (Year round)</t>
  </si>
  <si>
    <t>Community Garden</t>
  </si>
  <si>
    <t>Fundraiser Expenses</t>
  </si>
  <si>
    <t>VISTA Stipend</t>
  </si>
  <si>
    <t>Plants &amp; soil</t>
  </si>
  <si>
    <t>Garden Equipment</t>
  </si>
  <si>
    <t>Supplies for students</t>
  </si>
  <si>
    <t>7. Other Expenses</t>
  </si>
  <si>
    <t>Cooking Program</t>
  </si>
  <si>
    <t>Classroom Gardening Planters</t>
  </si>
  <si>
    <t>ADA-compliant Tables for Outdoor Learning</t>
  </si>
  <si>
    <t>Courtyard &amp; Playground Shade</t>
  </si>
  <si>
    <t>K-2 Playground Shade Shelter (like a bus stop)</t>
  </si>
  <si>
    <t>Total Expenses:</t>
  </si>
  <si>
    <t>INCOME</t>
  </si>
  <si>
    <t>1. IDES Learning Garden</t>
  </si>
  <si>
    <t>Go fund me, Corporate Sponsorships, Grants, other</t>
  </si>
  <si>
    <t>Fundraisers for Garden (bulb, seed sale, pasta dinner)</t>
  </si>
  <si>
    <t>Cash Donations (Foundations/Corporations)</t>
  </si>
  <si>
    <t>Potential Grant Income</t>
  </si>
  <si>
    <t>2. General PTO Fundraisers</t>
  </si>
  <si>
    <t>Spring Fundraiser &amp; Dance</t>
  </si>
  <si>
    <t>Book Fair</t>
  </si>
  <si>
    <t>Other</t>
  </si>
  <si>
    <t>Dine for Dickson</t>
  </si>
  <si>
    <t>Winter Recital: Pass the Hat</t>
  </si>
  <si>
    <t>PTO Meetings Bucket</t>
  </si>
  <si>
    <t>Spring Carnival &amp; Auction</t>
  </si>
  <si>
    <t xml:space="preserve"> </t>
  </si>
  <si>
    <t>Total Income:</t>
  </si>
  <si>
    <t>ASSETS</t>
  </si>
  <si>
    <t>Starting Balance</t>
  </si>
  <si>
    <t>PTO Checking Account</t>
  </si>
  <si>
    <t xml:space="preserve">PTO Garden Account </t>
  </si>
  <si>
    <t>PTO Garden CD Account</t>
  </si>
  <si>
    <t>Total Assets:</t>
  </si>
  <si>
    <t>Ending Balance</t>
  </si>
  <si>
    <t>+ Assets</t>
  </si>
  <si>
    <t>+ Income</t>
  </si>
  <si>
    <t>- Expenses</t>
  </si>
  <si>
    <t>Ending Balance:</t>
  </si>
  <si>
    <t>Over/Under</t>
  </si>
  <si>
    <t>Transfers between Accounts</t>
  </si>
  <si>
    <t>Other (memorial)</t>
  </si>
  <si>
    <t>Coffee Fundraiser</t>
  </si>
  <si>
    <t>Actual</t>
  </si>
  <si>
    <t>IDES Budget/Actual as of January 23,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</si>
</sst>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&quot;$&quot;#,##0"/>
  </numFmts>
  <fonts count="39" x14ac:knownFonts="1"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  <scheme val="minor"/>
    </font>
    <font>
      <b/>
      <i/>
      <sz val="16"/>
      <color indexed="8"/>
      <name val="Calibri"/>
      <family val="2"/>
    </font>
    <font>
      <sz val="14"/>
      <name val="Calibri"/>
      <family val="2"/>
    </font>
    <font>
      <b/>
      <i/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theme="1"/>
      <name val="Calibri"/>
      <family val="2"/>
      <scheme val="minor"/>
    </font>
    <font>
      <i/>
      <sz val="12"/>
      <color indexed="8"/>
      <name val="Calibri"/>
      <family val="2"/>
    </font>
    <font>
      <sz val="14"/>
      <color indexed="8"/>
      <name val="Calibri Light"/>
      <family val="2"/>
      <scheme val="major"/>
    </font>
    <font>
      <b/>
      <sz val="14"/>
      <color indexed="8"/>
      <name val="Calibri Light"/>
      <family val="2"/>
      <scheme val="major"/>
    </font>
    <font>
      <b/>
      <sz val="14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14"/>
      <name val="Calibri Light"/>
      <family val="2"/>
      <scheme val="major"/>
    </font>
    <font>
      <b/>
      <i/>
      <sz val="14"/>
      <color indexed="8"/>
      <name val="Calibri Light"/>
      <family val="2"/>
      <scheme val="major"/>
    </font>
    <font>
      <sz val="12"/>
      <color theme="1"/>
      <name val="Calibri"/>
      <family val="2"/>
      <scheme val="minor"/>
    </font>
    <font>
      <b/>
      <i/>
      <sz val="12"/>
      <color indexed="8"/>
      <name val="Calibri"/>
      <family val="2"/>
    </font>
    <font>
      <b/>
      <sz val="12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2"/>
      <name val="Calibri"/>
      <family val="2"/>
    </font>
    <font>
      <sz val="12"/>
      <name val="Calibri Light"/>
      <family val="2"/>
      <scheme val="major"/>
    </font>
    <font>
      <sz val="12"/>
      <color indexed="8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u val="singleAccounting"/>
      <sz val="12"/>
      <name val="Calibri"/>
      <family val="2"/>
    </font>
    <font>
      <u val="singleAccounting"/>
      <sz val="12"/>
      <color indexed="8"/>
      <name val="Calibri"/>
      <family val="2"/>
    </font>
    <font>
      <u val="singleAccounting"/>
      <sz val="12"/>
      <color theme="1"/>
      <name val="Calibri Light"/>
      <family val="2"/>
      <scheme val="major"/>
    </font>
    <font>
      <b/>
      <u val="singleAccounting"/>
      <sz val="12"/>
      <color indexed="8"/>
      <name val="Calibri"/>
      <family val="2"/>
    </font>
    <font>
      <b/>
      <u val="singleAccounting"/>
      <sz val="12"/>
      <name val="Calibri Light"/>
      <family val="2"/>
      <scheme val="major"/>
    </font>
    <font>
      <b/>
      <u val="singleAccounting"/>
      <sz val="12"/>
      <color theme="1"/>
      <name val="Calibri Light"/>
      <family val="2"/>
      <scheme val="major"/>
    </font>
    <font>
      <u val="singleAccounting"/>
      <sz val="12"/>
      <color theme="1"/>
      <name val="Calibri"/>
      <family val="2"/>
      <scheme val="minor"/>
    </font>
    <font>
      <b/>
      <u val="singleAccounting"/>
      <sz val="12"/>
      <color indexed="8"/>
      <name val="Calibri Light"/>
      <family val="2"/>
      <scheme val="major"/>
    </font>
    <font>
      <b/>
      <u val="doubleAccounting"/>
      <sz val="12"/>
      <color indexed="8"/>
      <name val="Calibri"/>
      <family val="2"/>
    </font>
    <font>
      <b/>
      <u val="doubleAccounting"/>
      <sz val="12"/>
      <color indexed="8"/>
      <name val="Calibri Light"/>
      <family val="2"/>
      <scheme val="major"/>
    </font>
    <font>
      <b/>
      <u val="doubleAccounting"/>
      <sz val="12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0" borderId="0" xfId="0" applyFont="1" applyBorder="1"/>
    <xf numFmtId="164" fontId="0" fillId="0" borderId="0" xfId="0" applyNumberFormat="1"/>
    <xf numFmtId="164" fontId="2" fillId="0" borderId="0" xfId="0" applyNumberFormat="1" applyFont="1"/>
    <xf numFmtId="0" fontId="3" fillId="0" borderId="0" xfId="0" applyFont="1"/>
    <xf numFmtId="41" fontId="0" fillId="0" borderId="0" xfId="0" applyNumberFormat="1" applyFont="1"/>
    <xf numFmtId="0" fontId="4" fillId="0" borderId="0" xfId="0" applyFont="1" applyBorder="1"/>
    <xf numFmtId="164" fontId="3" fillId="0" borderId="0" xfId="0" applyNumberFormat="1" applyFont="1"/>
    <xf numFmtId="41" fontId="5" fillId="0" borderId="0" xfId="0" applyNumberFormat="1" applyFont="1"/>
    <xf numFmtId="0" fontId="1" fillId="0" borderId="1" xfId="0" applyFont="1" applyBorder="1"/>
    <xf numFmtId="164" fontId="0" fillId="0" borderId="1" xfId="0" applyNumberFormat="1" applyBorder="1"/>
    <xf numFmtId="39" fontId="6" fillId="2" borderId="2" xfId="0" applyNumberFormat="1" applyFont="1" applyFill="1" applyBorder="1"/>
    <xf numFmtId="164" fontId="2" fillId="0" borderId="2" xfId="0" applyNumberFormat="1" applyFont="1" applyBorder="1"/>
    <xf numFmtId="39" fontId="2" fillId="0" borderId="2" xfId="0" applyNumberFormat="1" applyFont="1" applyBorder="1"/>
    <xf numFmtId="39" fontId="7" fillId="0" borderId="2" xfId="0" applyNumberFormat="1" applyFont="1" applyBorder="1"/>
    <xf numFmtId="164" fontId="7" fillId="0" borderId="3" xfId="0" applyNumberFormat="1" applyFont="1" applyBorder="1"/>
    <xf numFmtId="39" fontId="8" fillId="0" borderId="2" xfId="0" applyNumberFormat="1" applyFont="1" applyBorder="1" applyAlignment="1">
      <alignment horizontal="right"/>
    </xf>
    <xf numFmtId="164" fontId="9" fillId="0" borderId="2" xfId="0" applyNumberFormat="1" applyFont="1" applyBorder="1"/>
    <xf numFmtId="0" fontId="0" fillId="0" borderId="2" xfId="0" applyBorder="1"/>
    <xf numFmtId="164" fontId="0" fillId="0" borderId="2" xfId="0" applyNumberFormat="1" applyBorder="1"/>
    <xf numFmtId="164" fontId="2" fillId="0" borderId="3" xfId="0" applyNumberFormat="1" applyFont="1" applyBorder="1"/>
    <xf numFmtId="0" fontId="2" fillId="0" borderId="2" xfId="0" applyFont="1" applyBorder="1"/>
    <xf numFmtId="164" fontId="0" fillId="0" borderId="2" xfId="0" applyNumberFormat="1" applyFont="1" applyBorder="1"/>
    <xf numFmtId="164" fontId="2" fillId="0" borderId="2" xfId="0" applyNumberFormat="1" applyFont="1" applyFill="1" applyBorder="1"/>
    <xf numFmtId="0" fontId="2" fillId="0" borderId="2" xfId="0" applyFont="1" applyFill="1" applyBorder="1"/>
    <xf numFmtId="164" fontId="10" fillId="0" borderId="2" xfId="0" applyNumberFormat="1" applyFont="1" applyBorder="1"/>
    <xf numFmtId="164" fontId="7" fillId="0" borderId="2" xfId="0" applyNumberFormat="1" applyFont="1" applyBorder="1"/>
    <xf numFmtId="39" fontId="2" fillId="0" borderId="2" xfId="0" applyNumberFormat="1" applyFont="1" applyBorder="1" applyAlignment="1">
      <alignment horizontal="left"/>
    </xf>
    <xf numFmtId="39" fontId="2" fillId="0" borderId="2" xfId="0" applyNumberFormat="1" applyFont="1" applyFill="1" applyBorder="1"/>
    <xf numFmtId="39" fontId="6" fillId="2" borderId="2" xfId="0" applyNumberFormat="1" applyFont="1" applyFill="1" applyBorder="1" applyAlignment="1">
      <alignment horizontal="left"/>
    </xf>
    <xf numFmtId="0" fontId="10" fillId="0" borderId="2" xfId="0" applyFont="1" applyBorder="1"/>
    <xf numFmtId="0" fontId="9" fillId="0" borderId="2" xfId="0" applyFont="1" applyBorder="1" applyAlignment="1">
      <alignment horizontal="right"/>
    </xf>
    <xf numFmtId="0" fontId="2" fillId="0" borderId="4" xfId="0" applyFont="1" applyBorder="1"/>
    <xf numFmtId="164" fontId="2" fillId="0" borderId="4" xfId="0" applyNumberFormat="1" applyFont="1" applyBorder="1"/>
    <xf numFmtId="39" fontId="8" fillId="0" borderId="5" xfId="0" applyNumberFormat="1" applyFont="1" applyBorder="1" applyAlignment="1">
      <alignment horizontal="right"/>
    </xf>
    <xf numFmtId="164" fontId="2" fillId="0" borderId="5" xfId="0" applyNumberFormat="1" applyFont="1" applyBorder="1"/>
    <xf numFmtId="164" fontId="9" fillId="0" borderId="5" xfId="0" applyNumberFormat="1" applyFont="1" applyBorder="1"/>
    <xf numFmtId="39" fontId="8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/>
    <xf numFmtId="0" fontId="1" fillId="0" borderId="1" xfId="0" applyFont="1" applyFill="1" applyBorder="1"/>
    <xf numFmtId="0" fontId="6" fillId="2" borderId="2" xfId="0" applyFont="1" applyFill="1" applyBorder="1"/>
    <xf numFmtId="6" fontId="2" fillId="0" borderId="2" xfId="0" applyNumberFormat="1" applyFont="1" applyBorder="1"/>
    <xf numFmtId="164" fontId="9" fillId="0" borderId="4" xfId="0" applyNumberFormat="1" applyFont="1" applyBorder="1"/>
    <xf numFmtId="0" fontId="0" fillId="0" borderId="5" xfId="0" applyBorder="1"/>
    <xf numFmtId="164" fontId="0" fillId="0" borderId="5" xfId="0" applyNumberFormat="1" applyBorder="1"/>
    <xf numFmtId="0" fontId="8" fillId="4" borderId="6" xfId="0" applyFont="1" applyFill="1" applyBorder="1" applyAlignment="1">
      <alignment horizontal="right"/>
    </xf>
    <xf numFmtId="164" fontId="9" fillId="4" borderId="6" xfId="0" applyNumberFormat="1" applyFont="1" applyFill="1" applyBorder="1" applyAlignment="1">
      <alignment horizontal="right"/>
    </xf>
    <xf numFmtId="0" fontId="0" fillId="0" borderId="0" xfId="0" applyBorder="1"/>
    <xf numFmtId="164" fontId="0" fillId="0" borderId="0" xfId="0" applyNumberFormat="1" applyBorder="1"/>
    <xf numFmtId="164" fontId="2" fillId="0" borderId="0" xfId="0" applyNumberFormat="1" applyFont="1" applyBorder="1"/>
    <xf numFmtId="0" fontId="1" fillId="3" borderId="1" xfId="0" applyFont="1" applyFill="1" applyBorder="1"/>
    <xf numFmtId="164" fontId="2" fillId="0" borderId="1" xfId="0" applyNumberFormat="1" applyFont="1" applyBorder="1"/>
    <xf numFmtId="0" fontId="11" fillId="0" borderId="7" xfId="0" applyFont="1" applyBorder="1"/>
    <xf numFmtId="164" fontId="0" fillId="0" borderId="7" xfId="0" applyNumberFormat="1" applyBorder="1"/>
    <xf numFmtId="164" fontId="2" fillId="0" borderId="7" xfId="0" applyNumberFormat="1" applyFont="1" applyBorder="1"/>
    <xf numFmtId="39" fontId="2" fillId="0" borderId="2" xfId="0" quotePrefix="1" applyNumberFormat="1" applyFont="1" applyBorder="1" applyAlignment="1">
      <alignment horizontal="left"/>
    </xf>
    <xf numFmtId="164" fontId="9" fillId="0" borderId="8" xfId="0" applyNumberFormat="1" applyFont="1" applyBorder="1"/>
    <xf numFmtId="164" fontId="0" fillId="0" borderId="0" xfId="0" applyNumberFormat="1" applyFont="1"/>
    <xf numFmtId="39" fontId="2" fillId="0" borderId="5" xfId="0" quotePrefix="1" applyNumberFormat="1" applyFont="1" applyBorder="1" applyAlignment="1">
      <alignment horizontal="left"/>
    </xf>
    <xf numFmtId="39" fontId="8" fillId="0" borderId="6" xfId="0" applyNumberFormat="1" applyFont="1" applyBorder="1" applyAlignment="1">
      <alignment horizontal="right"/>
    </xf>
    <xf numFmtId="164" fontId="9" fillId="0" borderId="6" xfId="0" applyNumberFormat="1" applyFont="1" applyBorder="1"/>
    <xf numFmtId="0" fontId="11" fillId="0" borderId="0" xfId="0" applyFont="1" applyBorder="1"/>
    <xf numFmtId="164" fontId="13" fillId="0" borderId="6" xfId="0" applyNumberFormat="1" applyFont="1" applyFill="1" applyBorder="1"/>
    <xf numFmtId="164" fontId="13" fillId="0" borderId="2" xfId="0" applyNumberFormat="1" applyFont="1" applyBorder="1"/>
    <xf numFmtId="164" fontId="13" fillId="4" borderId="6" xfId="0" applyNumberFormat="1" applyFont="1" applyFill="1" applyBorder="1" applyAlignment="1">
      <alignment horizontal="right"/>
    </xf>
    <xf numFmtId="0" fontId="15" fillId="0" borderId="0" xfId="0" applyFont="1"/>
    <xf numFmtId="42" fontId="15" fillId="0" borderId="0" xfId="0" applyNumberFormat="1" applyFont="1"/>
    <xf numFmtId="42" fontId="14" fillId="0" borderId="0" xfId="0" applyNumberFormat="1" applyFont="1"/>
    <xf numFmtId="164" fontId="16" fillId="0" borderId="0" xfId="0" applyNumberFormat="1" applyFont="1"/>
    <xf numFmtId="41" fontId="15" fillId="0" borderId="0" xfId="0" applyNumberFormat="1" applyFont="1"/>
    <xf numFmtId="164" fontId="15" fillId="0" borderId="0" xfId="0" applyNumberFormat="1" applyFont="1"/>
    <xf numFmtId="41" fontId="14" fillId="0" borderId="0" xfId="0" applyNumberFormat="1" applyFont="1" applyAlignment="1">
      <alignment horizontal="center"/>
    </xf>
    <xf numFmtId="0" fontId="16" fillId="0" borderId="0" xfId="0" applyFont="1"/>
    <xf numFmtId="42" fontId="16" fillId="0" borderId="0" xfId="0" applyNumberFormat="1" applyFont="1"/>
    <xf numFmtId="41" fontId="16" fillId="0" borderId="0" xfId="0" applyNumberFormat="1" applyFont="1"/>
    <xf numFmtId="42" fontId="17" fillId="3" borderId="0" xfId="0" applyNumberFormat="1" applyFont="1" applyFill="1" applyBorder="1"/>
    <xf numFmtId="42" fontId="12" fillId="0" borderId="0" xfId="0" applyNumberFormat="1" applyFont="1" applyBorder="1"/>
    <xf numFmtId="42" fontId="18" fillId="3" borderId="0" xfId="0" applyNumberFormat="1" applyFont="1" applyFill="1" applyBorder="1"/>
    <xf numFmtId="42" fontId="15" fillId="0" borderId="9" xfId="0" applyNumberFormat="1" applyFont="1" applyBorder="1"/>
    <xf numFmtId="42" fontId="16" fillId="0" borderId="10" xfId="0" applyNumberFormat="1" applyFont="1" applyBorder="1"/>
    <xf numFmtId="42" fontId="16" fillId="0" borderId="2" xfId="0" applyNumberFormat="1" applyFont="1" applyBorder="1"/>
    <xf numFmtId="41" fontId="12" fillId="0" borderId="2" xfId="0" applyNumberFormat="1" applyFont="1" applyBorder="1"/>
    <xf numFmtId="41" fontId="16" fillId="0" borderId="10" xfId="0" applyNumberFormat="1" applyFont="1" applyBorder="1"/>
    <xf numFmtId="39" fontId="2" fillId="0" borderId="8" xfId="0" quotePrefix="1" applyNumberFormat="1" applyFont="1" applyBorder="1" applyAlignment="1">
      <alignment horizontal="left"/>
    </xf>
    <xf numFmtId="42" fontId="16" fillId="0" borderId="11" xfId="0" applyNumberFormat="1" applyFont="1" applyBorder="1"/>
    <xf numFmtId="164" fontId="9" fillId="0" borderId="10" xfId="0" applyNumberFormat="1" applyFont="1" applyBorder="1"/>
    <xf numFmtId="0" fontId="15" fillId="0" borderId="13" xfId="0" applyFont="1" applyBorder="1"/>
    <xf numFmtId="41" fontId="15" fillId="0" borderId="2" xfId="0" applyNumberFormat="1" applyFont="1" applyBorder="1"/>
    <xf numFmtId="0" fontId="15" fillId="0" borderId="2" xfId="0" applyFont="1" applyBorder="1"/>
    <xf numFmtId="42" fontId="15" fillId="0" borderId="2" xfId="0" applyNumberFormat="1" applyFont="1" applyBorder="1"/>
    <xf numFmtId="42" fontId="14" fillId="0" borderId="2" xfId="0" applyNumberFormat="1" applyFont="1" applyBorder="1"/>
    <xf numFmtId="41" fontId="14" fillId="0" borderId="14" xfId="0" applyNumberFormat="1" applyFont="1" applyBorder="1" applyAlignment="1">
      <alignment horizontal="center"/>
    </xf>
    <xf numFmtId="0" fontId="16" fillId="0" borderId="15" xfId="0" applyFont="1" applyBorder="1"/>
    <xf numFmtId="42" fontId="17" fillId="3" borderId="2" xfId="0" applyNumberFormat="1" applyFont="1" applyFill="1" applyBorder="1"/>
    <xf numFmtId="42" fontId="12" fillId="0" borderId="2" xfId="0" applyNumberFormat="1" applyFont="1" applyBorder="1"/>
    <xf numFmtId="42" fontId="12" fillId="3" borderId="2" xfId="0" applyNumberFormat="1" applyFont="1" applyFill="1" applyBorder="1"/>
    <xf numFmtId="164" fontId="9" fillId="0" borderId="16" xfId="0" applyNumberFormat="1" applyFont="1" applyBorder="1"/>
    <xf numFmtId="164" fontId="16" fillId="0" borderId="12" xfId="0" applyNumberFormat="1" applyFont="1" applyBorder="1"/>
    <xf numFmtId="0" fontId="15" fillId="0" borderId="0" xfId="0" applyFont="1" applyFill="1" applyBorder="1"/>
    <xf numFmtId="42" fontId="15" fillId="0" borderId="0" xfId="0" applyNumberFormat="1" applyFont="1" applyFill="1" applyBorder="1"/>
    <xf numFmtId="42" fontId="0" fillId="0" borderId="0" xfId="0" applyNumberFormat="1"/>
    <xf numFmtId="0" fontId="19" fillId="0" borderId="0" xfId="0" applyFont="1" applyBorder="1"/>
    <xf numFmtId="164" fontId="19" fillId="0" borderId="0" xfId="0" applyNumberFormat="1" applyFont="1" applyBorder="1"/>
    <xf numFmtId="164" fontId="3" fillId="0" borderId="0" xfId="0" applyNumberFormat="1" applyFont="1" applyBorder="1"/>
    <xf numFmtId="0" fontId="23" fillId="0" borderId="0" xfId="0" applyFont="1" applyFill="1" applyBorder="1"/>
    <xf numFmtId="42" fontId="23" fillId="0" borderId="0" xfId="0" applyNumberFormat="1" applyFont="1" applyFill="1" applyBorder="1"/>
    <xf numFmtId="164" fontId="29" fillId="0" borderId="0" xfId="0" applyNumberFormat="1" applyFont="1" applyBorder="1"/>
    <xf numFmtId="41" fontId="19" fillId="0" borderId="0" xfId="0" applyNumberFormat="1" applyFont="1" applyBorder="1"/>
    <xf numFmtId="41" fontId="5" fillId="0" borderId="0" xfId="0" applyNumberFormat="1" applyFont="1" applyBorder="1"/>
    <xf numFmtId="0" fontId="3" fillId="0" borderId="0" xfId="0" applyFont="1" applyBorder="1"/>
    <xf numFmtId="39" fontId="20" fillId="2" borderId="0" xfId="0" applyNumberFormat="1" applyFont="1" applyFill="1" applyBorder="1"/>
    <xf numFmtId="164" fontId="4" fillId="0" borderId="0" xfId="0" applyNumberFormat="1" applyFont="1" applyBorder="1" applyAlignment="1">
      <alignment horizontal="center"/>
    </xf>
    <xf numFmtId="39" fontId="3" fillId="0" borderId="0" xfId="0" applyNumberFormat="1" applyFont="1" applyBorder="1"/>
    <xf numFmtId="42" fontId="23" fillId="0" borderId="0" xfId="0" applyNumberFormat="1" applyFont="1" applyBorder="1"/>
    <xf numFmtId="39" fontId="24" fillId="0" borderId="0" xfId="0" applyNumberFormat="1" applyFont="1" applyBorder="1"/>
    <xf numFmtId="39" fontId="20" fillId="0" borderId="0" xfId="0" applyNumberFormat="1" applyFont="1" applyBorder="1" applyAlignment="1">
      <alignment horizontal="right"/>
    </xf>
    <xf numFmtId="164" fontId="31" fillId="0" borderId="0" xfId="0" applyNumberFormat="1" applyFont="1" applyBorder="1"/>
    <xf numFmtId="41" fontId="23" fillId="0" borderId="0" xfId="0" applyNumberFormat="1" applyFont="1" applyBorder="1"/>
    <xf numFmtId="0" fontId="23" fillId="0" borderId="0" xfId="0" applyFont="1" applyBorder="1"/>
    <xf numFmtId="164" fontId="4" fillId="0" borderId="0" xfId="0" applyNumberFormat="1" applyFont="1" applyBorder="1"/>
    <xf numFmtId="0" fontId="3" fillId="0" borderId="0" xfId="0" applyFont="1" applyFill="1" applyBorder="1"/>
    <xf numFmtId="164" fontId="24" fillId="0" borderId="0" xfId="0" applyNumberFormat="1" applyFont="1" applyBorder="1"/>
    <xf numFmtId="39" fontId="3" fillId="0" borderId="0" xfId="0" applyNumberFormat="1" applyFont="1" applyBorder="1" applyAlignment="1">
      <alignment horizontal="left"/>
    </xf>
    <xf numFmtId="39" fontId="3" fillId="0" borderId="0" xfId="0" applyNumberFormat="1" applyFont="1" applyFill="1" applyBorder="1"/>
    <xf numFmtId="39" fontId="20" fillId="2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39" fontId="20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164" fontId="27" fillId="0" borderId="0" xfId="0" applyNumberFormat="1" applyFont="1" applyBorder="1" applyAlignment="1">
      <alignment horizontal="center"/>
    </xf>
    <xf numFmtId="0" fontId="20" fillId="2" borderId="0" xfId="0" applyFont="1" applyFill="1" applyBorder="1"/>
    <xf numFmtId="6" fontId="3" fillId="0" borderId="0" xfId="0" applyNumberFormat="1" applyFont="1" applyBorder="1"/>
    <xf numFmtId="0" fontId="20" fillId="4" borderId="0" xfId="0" applyFont="1" applyFill="1" applyBorder="1" applyAlignment="1">
      <alignment horizontal="right"/>
    </xf>
    <xf numFmtId="0" fontId="4" fillId="3" borderId="0" xfId="0" applyFont="1" applyFill="1" applyBorder="1"/>
    <xf numFmtId="39" fontId="3" fillId="0" borderId="0" xfId="0" quotePrefix="1" applyNumberFormat="1" applyFont="1" applyBorder="1" applyAlignment="1">
      <alignment horizontal="left"/>
    </xf>
    <xf numFmtId="164" fontId="23" fillId="0" borderId="0" xfId="0" applyNumberFormat="1" applyFont="1" applyBorder="1"/>
    <xf numFmtId="41" fontId="16" fillId="0" borderId="0" xfId="0" applyNumberFormat="1" applyFont="1" applyBorder="1"/>
    <xf numFmtId="0" fontId="15" fillId="0" borderId="0" xfId="0" applyFont="1" applyBorder="1"/>
    <xf numFmtId="164" fontId="16" fillId="0" borderId="0" xfId="0" applyNumberFormat="1" applyFont="1" applyBorder="1"/>
    <xf numFmtId="164" fontId="0" fillId="0" borderId="0" xfId="0" applyNumberFormat="1" applyFont="1" applyBorder="1"/>
    <xf numFmtId="41" fontId="0" fillId="0" borderId="0" xfId="0" applyNumberFormat="1" applyFont="1" applyBorder="1"/>
    <xf numFmtId="164" fontId="4" fillId="0" borderId="1" xfId="0" applyNumberFormat="1" applyFont="1" applyBorder="1" applyAlignment="1">
      <alignment horizontal="center"/>
    </xf>
    <xf numFmtId="41" fontId="21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41" fontId="22" fillId="0" borderId="1" xfId="0" applyNumberFormat="1" applyFont="1" applyBorder="1" applyAlignment="1">
      <alignment horizontal="center"/>
    </xf>
    <xf numFmtId="41" fontId="30" fillId="0" borderId="0" xfId="0" applyNumberFormat="1" applyFont="1" applyBorder="1"/>
    <xf numFmtId="41" fontId="35" fillId="0" borderId="0" xfId="0" applyNumberFormat="1" applyFont="1" applyBorder="1"/>
    <xf numFmtId="41" fontId="33" fillId="0" borderId="0" xfId="0" applyNumberFormat="1" applyFont="1" applyBorder="1"/>
    <xf numFmtId="164" fontId="36" fillId="0" borderId="0" xfId="0" applyNumberFormat="1" applyFont="1" applyBorder="1"/>
    <xf numFmtId="41" fontId="3" fillId="0" borderId="0" xfId="0" applyNumberFormat="1" applyFont="1" applyBorder="1"/>
    <xf numFmtId="41" fontId="28" fillId="0" borderId="0" xfId="0" applyNumberFormat="1" applyFont="1" applyBorder="1"/>
    <xf numFmtId="41" fontId="31" fillId="0" borderId="0" xfId="0" applyNumberFormat="1" applyFont="1" applyBorder="1"/>
    <xf numFmtId="42" fontId="3" fillId="0" borderId="0" xfId="0" applyNumberFormat="1" applyFont="1" applyBorder="1"/>
    <xf numFmtId="42" fontId="3" fillId="0" borderId="0" xfId="0" applyNumberFormat="1" applyFont="1" applyBorder="1" applyAlignment="1">
      <alignment horizontal="left"/>
    </xf>
    <xf numFmtId="41" fontId="29" fillId="0" borderId="0" xfId="0" applyNumberFormat="1" applyFont="1" applyBorder="1"/>
    <xf numFmtId="41" fontId="32" fillId="0" borderId="0" xfId="0" applyNumberFormat="1" applyFont="1" applyBorder="1"/>
    <xf numFmtId="42" fontId="23" fillId="0" borderId="0" xfId="0" applyNumberFormat="1" applyFont="1" applyBorder="1" applyAlignment="1">
      <alignment horizontal="left"/>
    </xf>
    <xf numFmtId="41" fontId="34" fillId="0" borderId="0" xfId="0" applyNumberFormat="1" applyFont="1" applyBorder="1"/>
    <xf numFmtId="41" fontId="25" fillId="3" borderId="0" xfId="0" applyNumberFormat="1" applyFont="1" applyFill="1" applyBorder="1"/>
    <xf numFmtId="41" fontId="26" fillId="0" borderId="0" xfId="0" applyNumberFormat="1" applyFont="1" applyBorder="1"/>
    <xf numFmtId="41" fontId="26" fillId="3" borderId="0" xfId="0" applyNumberFormat="1" applyFont="1" applyFill="1" applyBorder="1"/>
    <xf numFmtId="41" fontId="3" fillId="0" borderId="0" xfId="0" applyNumberFormat="1" applyFont="1" applyFill="1" applyBorder="1"/>
    <xf numFmtId="41" fontId="29" fillId="0" borderId="0" xfId="0" applyNumberFormat="1" applyFont="1" applyFill="1" applyBorder="1"/>
    <xf numFmtId="41" fontId="4" fillId="0" borderId="0" xfId="0" applyNumberFormat="1" applyFont="1" applyBorder="1"/>
    <xf numFmtId="42" fontId="36" fillId="0" borderId="0" xfId="0" applyNumberFormat="1" applyFont="1" applyFill="1" applyBorder="1" applyAlignment="1">
      <alignment horizontal="left"/>
    </xf>
    <xf numFmtId="42" fontId="37" fillId="0" borderId="0" xfId="0" applyNumberFormat="1" applyFont="1" applyFill="1" applyBorder="1" applyAlignment="1">
      <alignment horizontal="left"/>
    </xf>
    <xf numFmtId="42" fontId="36" fillId="4" borderId="0" xfId="0" applyNumberFormat="1" applyFont="1" applyFill="1" applyBorder="1" applyAlignment="1">
      <alignment horizontal="right"/>
    </xf>
    <xf numFmtId="42" fontId="37" fillId="4" borderId="0" xfId="0" applyNumberFormat="1" applyFont="1" applyFill="1" applyBorder="1" applyAlignment="1">
      <alignment horizontal="right"/>
    </xf>
    <xf numFmtId="41" fontId="22" fillId="0" borderId="0" xfId="0" applyNumberFormat="1" applyFont="1" applyBorder="1"/>
    <xf numFmtId="42" fontId="36" fillId="0" borderId="0" xfId="0" applyNumberFormat="1" applyFont="1" applyBorder="1" applyAlignment="1">
      <alignment horizontal="left"/>
    </xf>
    <xf numFmtId="42" fontId="38" fillId="0" borderId="0" xfId="0" applyNumberFormat="1" applyFont="1" applyBorder="1" applyAlignment="1">
      <alignment horizontal="left"/>
    </xf>
    <xf numFmtId="41" fontId="3" fillId="0" borderId="0" xfId="0" applyNumberFormat="1" applyFont="1" applyBorder="1" applyAlignment="1">
      <alignment horizontal="left"/>
    </xf>
    <xf numFmtId="41" fontId="23" fillId="0" borderId="0" xfId="0" applyNumberFormat="1" applyFont="1" applyBorder="1" applyAlignment="1">
      <alignment horizontal="left"/>
    </xf>
    <xf numFmtId="41" fontId="23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"/>
  <sheetViews>
    <sheetView tabSelected="1" topLeftCell="A96" zoomScaleNormal="100" workbookViewId="0">
      <selection activeCell="J105" sqref="J105"/>
    </sheetView>
  </sheetViews>
  <sheetFormatPr defaultColWidth="12.5703125" defaultRowHeight="18.75" x14ac:dyDescent="0.3"/>
  <cols>
    <col min="1" max="1" width="53.5703125" style="47" customWidth="1"/>
    <col min="2" max="2" width="14.85546875" style="48" bestFit="1" customWidth="1"/>
    <col min="3" max="3" width="14.85546875" style="49" bestFit="1" customWidth="1"/>
    <col min="4" max="4" width="14.85546875" style="139" bestFit="1" customWidth="1"/>
    <col min="5" max="5" width="17.28515625" style="47" bestFit="1" customWidth="1"/>
    <col min="9" max="9" width="12.5703125" style="3"/>
  </cols>
  <sheetData>
    <row r="1" spans="1:9" x14ac:dyDescent="0.3">
      <c r="A1" s="6" t="s">
        <v>96</v>
      </c>
      <c r="B1" s="102"/>
      <c r="C1" s="103"/>
      <c r="D1" s="107"/>
      <c r="E1" s="101"/>
    </row>
    <row r="2" spans="1:9" s="4" customFormat="1" ht="15.75" x14ac:dyDescent="0.25">
      <c r="A2" s="6"/>
      <c r="B2" s="103"/>
      <c r="C2" s="103"/>
      <c r="D2" s="108"/>
      <c r="E2" s="109"/>
      <c r="I2" s="7"/>
    </row>
    <row r="3" spans="1:9" x14ac:dyDescent="0.3">
      <c r="A3" s="6" t="s">
        <v>1</v>
      </c>
      <c r="B3" s="102"/>
      <c r="C3" s="103"/>
      <c r="D3" s="107"/>
      <c r="E3" s="101"/>
    </row>
    <row r="4" spans="1:9" x14ac:dyDescent="0.3">
      <c r="A4" s="110" t="s">
        <v>2</v>
      </c>
      <c r="B4" s="140" t="s">
        <v>3</v>
      </c>
      <c r="C4" s="140" t="s">
        <v>4</v>
      </c>
      <c r="D4" s="141" t="s">
        <v>5</v>
      </c>
      <c r="E4" s="142" t="s">
        <v>91</v>
      </c>
    </row>
    <row r="5" spans="1:9" x14ac:dyDescent="0.3">
      <c r="A5" s="112" t="s">
        <v>6</v>
      </c>
      <c r="B5" s="152">
        <v>150</v>
      </c>
      <c r="C5" s="152">
        <v>150</v>
      </c>
      <c r="D5" s="155">
        <f>42.06+84+12</f>
        <v>138.06</v>
      </c>
      <c r="E5" s="155">
        <f>D5-C5</f>
        <v>-11.939999999999998</v>
      </c>
    </row>
    <row r="6" spans="1:9" x14ac:dyDescent="0.3">
      <c r="A6" s="112" t="s">
        <v>7</v>
      </c>
      <c r="B6" s="148">
        <v>150</v>
      </c>
      <c r="C6" s="148">
        <v>150</v>
      </c>
      <c r="D6" s="117">
        <v>0</v>
      </c>
      <c r="E6" s="117">
        <f t="shared" ref="E6:E9" si="0">D6-C6</f>
        <v>-150</v>
      </c>
    </row>
    <row r="7" spans="1:9" x14ac:dyDescent="0.3">
      <c r="A7" s="112" t="s">
        <v>8</v>
      </c>
      <c r="B7" s="148">
        <v>750</v>
      </c>
      <c r="C7" s="148">
        <v>750</v>
      </c>
      <c r="D7" s="117">
        <v>252</v>
      </c>
      <c r="E7" s="117">
        <f t="shared" si="0"/>
        <v>-498</v>
      </c>
    </row>
    <row r="8" spans="1:9" ht="20.25" x14ac:dyDescent="0.4">
      <c r="A8" s="114" t="s">
        <v>9</v>
      </c>
      <c r="B8" s="149">
        <v>2500</v>
      </c>
      <c r="C8" s="153">
        <v>1000</v>
      </c>
      <c r="D8" s="144">
        <v>0</v>
      </c>
      <c r="E8" s="144">
        <f t="shared" si="0"/>
        <v>-1000</v>
      </c>
    </row>
    <row r="9" spans="1:9" ht="20.25" x14ac:dyDescent="0.4">
      <c r="A9" s="115" t="s">
        <v>10</v>
      </c>
      <c r="B9" s="150">
        <f>SUM(B5:B8)</f>
        <v>3550</v>
      </c>
      <c r="C9" s="150">
        <f>SUM(C5:C8)</f>
        <v>2050</v>
      </c>
      <c r="D9" s="154">
        <f>D5+D6+D7+D8</f>
        <v>390.06</v>
      </c>
      <c r="E9" s="146">
        <f t="shared" si="0"/>
        <v>-1659.94</v>
      </c>
    </row>
    <row r="10" spans="1:9" x14ac:dyDescent="0.3">
      <c r="A10" s="101"/>
      <c r="B10" s="102"/>
      <c r="C10" s="103"/>
      <c r="D10" s="117"/>
      <c r="E10" s="118"/>
    </row>
    <row r="11" spans="1:9" x14ac:dyDescent="0.3">
      <c r="A11" s="110" t="s">
        <v>11</v>
      </c>
      <c r="B11" s="140" t="s">
        <v>3</v>
      </c>
      <c r="C11" s="140" t="s">
        <v>4</v>
      </c>
      <c r="D11" s="141" t="s">
        <v>5</v>
      </c>
      <c r="E11" s="142" t="s">
        <v>91</v>
      </c>
    </row>
    <row r="12" spans="1:9" x14ac:dyDescent="0.3">
      <c r="A12" s="112" t="s">
        <v>12</v>
      </c>
      <c r="B12" s="148">
        <v>0</v>
      </c>
      <c r="C12" s="148">
        <v>5000</v>
      </c>
      <c r="D12" s="117">
        <v>0</v>
      </c>
      <c r="E12" s="117">
        <f t="shared" ref="E12:E19" si="1">D12-C12</f>
        <v>-5000</v>
      </c>
    </row>
    <row r="13" spans="1:9" x14ac:dyDescent="0.3">
      <c r="A13" s="112" t="s">
        <v>13</v>
      </c>
      <c r="B13" s="148">
        <v>0</v>
      </c>
      <c r="C13" s="148">
        <v>2500</v>
      </c>
      <c r="D13" s="117">
        <v>2500</v>
      </c>
      <c r="E13" s="117">
        <f t="shared" si="1"/>
        <v>0</v>
      </c>
    </row>
    <row r="14" spans="1:9" x14ac:dyDescent="0.3">
      <c r="A14" s="112" t="s">
        <v>14</v>
      </c>
      <c r="B14" s="148">
        <v>0</v>
      </c>
      <c r="C14" s="148">
        <v>1200</v>
      </c>
      <c r="D14" s="117">
        <v>0</v>
      </c>
      <c r="E14" s="117">
        <f t="shared" si="1"/>
        <v>-1200</v>
      </c>
    </row>
    <row r="15" spans="1:9" x14ac:dyDescent="0.3">
      <c r="A15" s="112" t="s">
        <v>15</v>
      </c>
      <c r="B15" s="148">
        <v>1000</v>
      </c>
      <c r="C15" s="148">
        <v>0</v>
      </c>
      <c r="D15" s="117">
        <v>0</v>
      </c>
      <c r="E15" s="117">
        <f t="shared" si="1"/>
        <v>0</v>
      </c>
    </row>
    <row r="16" spans="1:9" x14ac:dyDescent="0.3">
      <c r="A16" s="112" t="s">
        <v>16</v>
      </c>
      <c r="B16" s="148">
        <v>1000</v>
      </c>
      <c r="C16" s="148">
        <v>500</v>
      </c>
      <c r="D16" s="117">
        <v>0</v>
      </c>
      <c r="E16" s="117">
        <f t="shared" si="1"/>
        <v>-500</v>
      </c>
    </row>
    <row r="17" spans="1:5" x14ac:dyDescent="0.3">
      <c r="A17" s="112" t="s">
        <v>17</v>
      </c>
      <c r="B17" s="148">
        <v>200</v>
      </c>
      <c r="C17" s="148">
        <v>200</v>
      </c>
      <c r="D17" s="117">
        <v>0</v>
      </c>
      <c r="E17" s="117">
        <f t="shared" si="1"/>
        <v>-200</v>
      </c>
    </row>
    <row r="18" spans="1:5" ht="20.25" x14ac:dyDescent="0.4">
      <c r="A18" s="109" t="s">
        <v>18</v>
      </c>
      <c r="B18" s="156">
        <v>0</v>
      </c>
      <c r="C18" s="153">
        <v>300</v>
      </c>
      <c r="D18" s="144">
        <v>0</v>
      </c>
      <c r="E18" s="144">
        <f t="shared" si="1"/>
        <v>-300</v>
      </c>
    </row>
    <row r="19" spans="1:5" ht="20.25" x14ac:dyDescent="0.4">
      <c r="A19" s="115" t="s">
        <v>10</v>
      </c>
      <c r="B19" s="150">
        <f>SUM(B12:B18)</f>
        <v>2200</v>
      </c>
      <c r="C19" s="150">
        <f>SUM(C12:C18)</f>
        <v>9700</v>
      </c>
      <c r="D19" s="146">
        <f>D12+D13+D14+D15+D16+D17+D18</f>
        <v>2500</v>
      </c>
      <c r="E19" s="146">
        <f t="shared" si="1"/>
        <v>-7200</v>
      </c>
    </row>
    <row r="20" spans="1:5" x14ac:dyDescent="0.3">
      <c r="A20" s="101"/>
      <c r="B20" s="102"/>
      <c r="C20" s="103"/>
      <c r="D20" s="117"/>
      <c r="E20" s="118"/>
    </row>
    <row r="21" spans="1:5" x14ac:dyDescent="0.3">
      <c r="A21" s="110" t="s">
        <v>19</v>
      </c>
      <c r="B21" s="140" t="s">
        <v>3</v>
      </c>
      <c r="C21" s="140" t="s">
        <v>4</v>
      </c>
      <c r="D21" s="141" t="s">
        <v>5</v>
      </c>
      <c r="E21" s="142" t="s">
        <v>91</v>
      </c>
    </row>
    <row r="22" spans="1:5" x14ac:dyDescent="0.3">
      <c r="A22" s="112" t="s">
        <v>20</v>
      </c>
      <c r="B22" s="148">
        <v>4650</v>
      </c>
      <c r="C22" s="148">
        <v>5400</v>
      </c>
      <c r="D22" s="157">
        <f>5250+150+150+150+150</f>
        <v>5850</v>
      </c>
      <c r="E22" s="117">
        <f t="shared" ref="E22:E37" si="2">D22-C22</f>
        <v>450</v>
      </c>
    </row>
    <row r="23" spans="1:5" x14ac:dyDescent="0.3">
      <c r="A23" s="112" t="s">
        <v>21</v>
      </c>
      <c r="B23" s="148">
        <v>2457</v>
      </c>
      <c r="C23" s="148">
        <v>2000</v>
      </c>
      <c r="D23" s="158">
        <v>1000</v>
      </c>
      <c r="E23" s="117">
        <f t="shared" si="2"/>
        <v>-1000</v>
      </c>
    </row>
    <row r="24" spans="1:5" x14ac:dyDescent="0.3">
      <c r="A24" s="112" t="s">
        <v>22</v>
      </c>
      <c r="B24" s="148">
        <v>2457</v>
      </c>
      <c r="C24" s="148">
        <v>2000</v>
      </c>
      <c r="D24" s="158">
        <v>1000</v>
      </c>
      <c r="E24" s="117">
        <f t="shared" si="2"/>
        <v>-1000</v>
      </c>
    </row>
    <row r="25" spans="1:5" x14ac:dyDescent="0.3">
      <c r="A25" s="112" t="s">
        <v>23</v>
      </c>
      <c r="B25" s="148">
        <v>2457</v>
      </c>
      <c r="C25" s="148">
        <v>2000</v>
      </c>
      <c r="D25" s="158">
        <v>1000</v>
      </c>
      <c r="E25" s="117">
        <f t="shared" si="2"/>
        <v>-1000</v>
      </c>
    </row>
    <row r="26" spans="1:5" x14ac:dyDescent="0.3">
      <c r="A26" s="112" t="s">
        <v>24</v>
      </c>
      <c r="B26" s="148">
        <v>3791</v>
      </c>
      <c r="C26" s="148">
        <v>2000</v>
      </c>
      <c r="D26" s="158">
        <v>1000</v>
      </c>
      <c r="E26" s="117">
        <f t="shared" si="2"/>
        <v>-1000</v>
      </c>
    </row>
    <row r="27" spans="1:5" x14ac:dyDescent="0.3">
      <c r="A27" s="112" t="s">
        <v>25</v>
      </c>
      <c r="B27" s="148">
        <v>3791</v>
      </c>
      <c r="C27" s="148">
        <v>2000</v>
      </c>
      <c r="D27" s="158">
        <v>1000</v>
      </c>
      <c r="E27" s="117">
        <f t="shared" si="2"/>
        <v>-1000</v>
      </c>
    </row>
    <row r="28" spans="1:5" x14ac:dyDescent="0.3">
      <c r="A28" s="112" t="s">
        <v>26</v>
      </c>
      <c r="B28" s="148">
        <v>3791</v>
      </c>
      <c r="C28" s="148">
        <v>2000</v>
      </c>
      <c r="D28" s="117">
        <v>1000</v>
      </c>
      <c r="E28" s="117">
        <f t="shared" si="2"/>
        <v>-1000</v>
      </c>
    </row>
    <row r="29" spans="1:5" x14ac:dyDescent="0.3">
      <c r="A29" s="112" t="s">
        <v>27</v>
      </c>
      <c r="B29" s="148">
        <v>0</v>
      </c>
      <c r="C29" s="148">
        <v>500</v>
      </c>
      <c r="D29" s="159">
        <v>250</v>
      </c>
      <c r="E29" s="117">
        <f t="shared" si="2"/>
        <v>-250</v>
      </c>
    </row>
    <row r="30" spans="1:5" x14ac:dyDescent="0.3">
      <c r="A30" s="112" t="s">
        <v>28</v>
      </c>
      <c r="B30" s="148">
        <v>0</v>
      </c>
      <c r="C30" s="160">
        <v>1000</v>
      </c>
      <c r="D30" s="159">
        <v>0</v>
      </c>
      <c r="E30" s="117">
        <f t="shared" si="2"/>
        <v>-1000</v>
      </c>
    </row>
    <row r="31" spans="1:5" x14ac:dyDescent="0.3">
      <c r="A31" s="112" t="s">
        <v>29</v>
      </c>
      <c r="B31" s="148">
        <v>1000</v>
      </c>
      <c r="C31" s="160">
        <v>1000</v>
      </c>
      <c r="D31" s="117">
        <v>0</v>
      </c>
      <c r="E31" s="117">
        <f t="shared" si="2"/>
        <v>-1000</v>
      </c>
    </row>
    <row r="32" spans="1:5" x14ac:dyDescent="0.3">
      <c r="A32" s="120" t="s">
        <v>30</v>
      </c>
      <c r="B32" s="107">
        <v>0</v>
      </c>
      <c r="C32" s="148">
        <v>500</v>
      </c>
      <c r="D32" s="117">
        <v>0</v>
      </c>
      <c r="E32" s="117">
        <f t="shared" si="2"/>
        <v>-500</v>
      </c>
    </row>
    <row r="33" spans="1:5" x14ac:dyDescent="0.3">
      <c r="A33" s="120" t="s">
        <v>31</v>
      </c>
      <c r="B33" s="107">
        <v>0</v>
      </c>
      <c r="C33" s="148"/>
      <c r="D33" s="117">
        <v>500</v>
      </c>
      <c r="E33" s="117">
        <f t="shared" si="2"/>
        <v>500</v>
      </c>
    </row>
    <row r="34" spans="1:5" x14ac:dyDescent="0.3">
      <c r="A34" s="112" t="s">
        <v>32</v>
      </c>
      <c r="B34" s="148">
        <v>600</v>
      </c>
      <c r="C34" s="148">
        <v>600</v>
      </c>
      <c r="D34" s="117">
        <v>666.61</v>
      </c>
      <c r="E34" s="117">
        <f t="shared" si="2"/>
        <v>66.610000000000014</v>
      </c>
    </row>
    <row r="35" spans="1:5" x14ac:dyDescent="0.3">
      <c r="A35" s="112" t="s">
        <v>33</v>
      </c>
      <c r="B35" s="148">
        <v>125</v>
      </c>
      <c r="C35" s="148">
        <v>125</v>
      </c>
      <c r="D35" s="117">
        <v>96.3</v>
      </c>
      <c r="E35" s="117">
        <f t="shared" si="2"/>
        <v>-28.700000000000003</v>
      </c>
    </row>
    <row r="36" spans="1:5" ht="20.25" x14ac:dyDescent="0.4">
      <c r="A36" s="112" t="s">
        <v>34</v>
      </c>
      <c r="B36" s="153">
        <v>50</v>
      </c>
      <c r="C36" s="153">
        <v>50</v>
      </c>
      <c r="D36" s="144">
        <v>0</v>
      </c>
      <c r="E36" s="144">
        <f t="shared" si="2"/>
        <v>-50</v>
      </c>
    </row>
    <row r="37" spans="1:5" ht="20.25" x14ac:dyDescent="0.4">
      <c r="A37" s="115" t="s">
        <v>10</v>
      </c>
      <c r="B37" s="150">
        <f>SUM(B22:B36)</f>
        <v>25169</v>
      </c>
      <c r="C37" s="150">
        <f>SUM(C22:C36)</f>
        <v>21175</v>
      </c>
      <c r="D37" s="146">
        <f>D22+D23+D24+D25+D26+D27+D28+D29+D30+D31+D32+D33+D34+D35+D36</f>
        <v>13362.91</v>
      </c>
      <c r="E37" s="146">
        <f t="shared" si="2"/>
        <v>-7812.09</v>
      </c>
    </row>
    <row r="38" spans="1:5" x14ac:dyDescent="0.3">
      <c r="A38" s="115"/>
      <c r="B38" s="119"/>
      <c r="C38" s="119"/>
      <c r="D38" s="117"/>
      <c r="E38" s="118"/>
    </row>
    <row r="39" spans="1:5" x14ac:dyDescent="0.3">
      <c r="A39" s="110" t="s">
        <v>35</v>
      </c>
      <c r="B39" s="140" t="s">
        <v>3</v>
      </c>
      <c r="C39" s="140" t="s">
        <v>4</v>
      </c>
      <c r="D39" s="141" t="s">
        <v>5</v>
      </c>
      <c r="E39" s="142" t="s">
        <v>91</v>
      </c>
    </row>
    <row r="40" spans="1:5" x14ac:dyDescent="0.3">
      <c r="A40" s="112" t="s">
        <v>36</v>
      </c>
      <c r="B40" s="151">
        <v>1500</v>
      </c>
      <c r="C40" s="151">
        <v>1000</v>
      </c>
      <c r="D40" s="113">
        <v>0</v>
      </c>
      <c r="E40" s="113">
        <f t="shared" ref="E40:E45" si="3">D40-C40</f>
        <v>-1000</v>
      </c>
    </row>
    <row r="41" spans="1:5" x14ac:dyDescent="0.3">
      <c r="A41" s="112" t="s">
        <v>37</v>
      </c>
      <c r="B41" s="148">
        <v>600</v>
      </c>
      <c r="C41" s="148">
        <v>600</v>
      </c>
      <c r="D41" s="117">
        <v>482.55</v>
      </c>
      <c r="E41" s="117">
        <f t="shared" si="3"/>
        <v>-117.44999999999999</v>
      </c>
    </row>
    <row r="42" spans="1:5" x14ac:dyDescent="0.3">
      <c r="A42" s="112" t="s">
        <v>38</v>
      </c>
      <c r="B42" s="148">
        <v>450</v>
      </c>
      <c r="C42" s="148">
        <v>450</v>
      </c>
      <c r="D42" s="117">
        <v>212.56</v>
      </c>
      <c r="E42" s="117">
        <f t="shared" si="3"/>
        <v>-237.44</v>
      </c>
    </row>
    <row r="43" spans="1:5" x14ac:dyDescent="0.3">
      <c r="A43" s="112" t="s">
        <v>39</v>
      </c>
      <c r="B43" s="148">
        <v>630</v>
      </c>
      <c r="C43" s="148">
        <v>630</v>
      </c>
      <c r="D43" s="117">
        <f>35+165+35+40+40+23+23</f>
        <v>361</v>
      </c>
      <c r="E43" s="117">
        <f t="shared" si="3"/>
        <v>-269</v>
      </c>
    </row>
    <row r="44" spans="1:5" ht="20.25" x14ac:dyDescent="0.4">
      <c r="A44" s="112" t="s">
        <v>40</v>
      </c>
      <c r="B44" s="153">
        <v>300</v>
      </c>
      <c r="C44" s="153">
        <v>300</v>
      </c>
      <c r="D44" s="144">
        <v>0</v>
      </c>
      <c r="E44" s="144">
        <f t="shared" si="3"/>
        <v>-300</v>
      </c>
    </row>
    <row r="45" spans="1:5" ht="20.25" x14ac:dyDescent="0.4">
      <c r="A45" s="115" t="s">
        <v>10</v>
      </c>
      <c r="B45" s="150">
        <f>SUM(B40:B44)</f>
        <v>3480</v>
      </c>
      <c r="C45" s="150">
        <f>SUM(C40:C44)</f>
        <v>2980</v>
      </c>
      <c r="D45" s="146">
        <f>D40+D41+D42+D43+D44</f>
        <v>1056.1100000000001</v>
      </c>
      <c r="E45" s="146">
        <f t="shared" si="3"/>
        <v>-1923.8899999999999</v>
      </c>
    </row>
    <row r="46" spans="1:5" x14ac:dyDescent="0.3">
      <c r="A46" s="101"/>
      <c r="B46" s="121"/>
      <c r="C46" s="103"/>
      <c r="D46" s="117"/>
      <c r="E46" s="118"/>
    </row>
    <row r="47" spans="1:5" x14ac:dyDescent="0.3">
      <c r="A47" s="110" t="s">
        <v>41</v>
      </c>
      <c r="B47" s="140" t="s">
        <v>3</v>
      </c>
      <c r="C47" s="140" t="s">
        <v>4</v>
      </c>
      <c r="D47" s="141" t="s">
        <v>5</v>
      </c>
      <c r="E47" s="142" t="s">
        <v>91</v>
      </c>
    </row>
    <row r="48" spans="1:5" x14ac:dyDescent="0.3">
      <c r="A48" s="112" t="s">
        <v>42</v>
      </c>
      <c r="B48" s="170">
        <v>18000</v>
      </c>
      <c r="C48" s="170">
        <v>18000</v>
      </c>
      <c r="D48" s="171">
        <f>500+2000+1213.93+4918.9+115.33+1425.76+410+(160*10)+300+250+1685+175</f>
        <v>14593.92</v>
      </c>
      <c r="E48" s="171">
        <f t="shared" ref="E48:E56" si="4">D48-C48</f>
        <v>-3406.08</v>
      </c>
    </row>
    <row r="49" spans="1:6" x14ac:dyDescent="0.3">
      <c r="A49" s="112" t="s">
        <v>43</v>
      </c>
      <c r="B49" s="148">
        <v>750</v>
      </c>
      <c r="C49" s="148">
        <v>750</v>
      </c>
      <c r="D49" s="117">
        <f>203.89+354.48+158.05+146.97</f>
        <v>863.3900000000001</v>
      </c>
      <c r="E49" s="117">
        <f t="shared" si="4"/>
        <v>113.3900000000001</v>
      </c>
    </row>
    <row r="50" spans="1:6" x14ac:dyDescent="0.3">
      <c r="A50" s="112" t="s">
        <v>44</v>
      </c>
      <c r="B50" s="148">
        <v>150</v>
      </c>
      <c r="C50" s="148">
        <v>600</v>
      </c>
      <c r="D50" s="117">
        <f>75+98.94+17.18+96</f>
        <v>287.12</v>
      </c>
      <c r="E50" s="117">
        <f t="shared" si="4"/>
        <v>-312.88</v>
      </c>
    </row>
    <row r="51" spans="1:6" x14ac:dyDescent="0.3">
      <c r="A51" s="122" t="s">
        <v>45</v>
      </c>
      <c r="B51" s="148">
        <v>0</v>
      </c>
      <c r="C51" s="148">
        <v>0</v>
      </c>
      <c r="D51" s="117">
        <v>0</v>
      </c>
      <c r="E51" s="117">
        <f t="shared" si="4"/>
        <v>0</v>
      </c>
    </row>
    <row r="52" spans="1:6" x14ac:dyDescent="0.3">
      <c r="A52" s="122" t="s">
        <v>46</v>
      </c>
      <c r="B52" s="148">
        <v>0</v>
      </c>
      <c r="C52" s="148">
        <v>1000</v>
      </c>
      <c r="D52" s="117">
        <v>0</v>
      </c>
      <c r="E52" s="117">
        <f t="shared" si="4"/>
        <v>-1000</v>
      </c>
    </row>
    <row r="53" spans="1:6" x14ac:dyDescent="0.3">
      <c r="A53" s="122" t="s">
        <v>93</v>
      </c>
      <c r="B53" s="148">
        <v>0</v>
      </c>
      <c r="C53" s="148">
        <v>0</v>
      </c>
      <c r="D53" s="117">
        <f>600+263.92</f>
        <v>863.92000000000007</v>
      </c>
      <c r="E53" s="117">
        <f t="shared" si="4"/>
        <v>863.92000000000007</v>
      </c>
    </row>
    <row r="54" spans="1:6" x14ac:dyDescent="0.3">
      <c r="A54" s="122" t="s">
        <v>47</v>
      </c>
      <c r="B54" s="148">
        <v>0</v>
      </c>
      <c r="C54" s="148">
        <v>1000</v>
      </c>
      <c r="D54" s="117">
        <v>39.869999999999997</v>
      </c>
      <c r="E54" s="117">
        <f t="shared" si="4"/>
        <v>-960.13</v>
      </c>
    </row>
    <row r="55" spans="1:6" ht="20.25" x14ac:dyDescent="0.4">
      <c r="A55" s="123" t="s">
        <v>48</v>
      </c>
      <c r="B55" s="161">
        <v>0</v>
      </c>
      <c r="C55" s="161">
        <v>0</v>
      </c>
      <c r="D55" s="144">
        <v>0</v>
      </c>
      <c r="E55" s="144">
        <f t="shared" si="4"/>
        <v>0</v>
      </c>
    </row>
    <row r="56" spans="1:6" ht="20.25" x14ac:dyDescent="0.4">
      <c r="A56" s="115" t="s">
        <v>10</v>
      </c>
      <c r="B56" s="150">
        <f>SUM(B48:B55)</f>
        <v>18900</v>
      </c>
      <c r="C56" s="150">
        <f>SUM(C48:C55)</f>
        <v>21350</v>
      </c>
      <c r="D56" s="146">
        <f>D48+D49+D50+D51+D52+D54+D55+D53</f>
        <v>16648.22</v>
      </c>
      <c r="E56" s="146">
        <f t="shared" si="4"/>
        <v>-4701.7799999999988</v>
      </c>
      <c r="F56" s="100"/>
    </row>
    <row r="57" spans="1:6" x14ac:dyDescent="0.3">
      <c r="A57" s="101"/>
      <c r="B57" s="102"/>
      <c r="C57" s="103"/>
      <c r="D57" s="117"/>
      <c r="E57" s="118"/>
    </row>
    <row r="58" spans="1:6" x14ac:dyDescent="0.3">
      <c r="A58" s="124" t="s">
        <v>49</v>
      </c>
      <c r="B58" s="140" t="s">
        <v>3</v>
      </c>
      <c r="C58" s="140" t="s">
        <v>4</v>
      </c>
      <c r="D58" s="141" t="s">
        <v>5</v>
      </c>
      <c r="E58" s="142" t="s">
        <v>91</v>
      </c>
    </row>
    <row r="59" spans="1:6" x14ac:dyDescent="0.3">
      <c r="A59" s="109" t="s">
        <v>50</v>
      </c>
      <c r="B59" s="148">
        <v>0</v>
      </c>
      <c r="C59" s="148">
        <v>15000</v>
      </c>
      <c r="D59" s="117">
        <f>1125+1500+675+600+900+1200+300+1200</f>
        <v>7500</v>
      </c>
      <c r="E59" s="117">
        <f t="shared" ref="E59:E66" si="5">D59-C59</f>
        <v>-7500</v>
      </c>
    </row>
    <row r="60" spans="1:6" x14ac:dyDescent="0.3">
      <c r="A60" s="101" t="s">
        <v>51</v>
      </c>
      <c r="B60" s="148">
        <v>0</v>
      </c>
      <c r="C60" s="148">
        <v>5000</v>
      </c>
      <c r="D60" s="117">
        <f>1800+113.73</f>
        <v>1913.73</v>
      </c>
      <c r="E60" s="117">
        <f t="shared" si="5"/>
        <v>-3086.27</v>
      </c>
    </row>
    <row r="61" spans="1:6" x14ac:dyDescent="0.3">
      <c r="A61" s="109" t="s">
        <v>52</v>
      </c>
      <c r="B61" s="148">
        <v>0</v>
      </c>
      <c r="C61" s="148">
        <v>1200</v>
      </c>
      <c r="D61" s="117">
        <f>180+658.63</f>
        <v>838.63</v>
      </c>
      <c r="E61" s="117">
        <f t="shared" si="5"/>
        <v>-361.37</v>
      </c>
    </row>
    <row r="62" spans="1:6" x14ac:dyDescent="0.3">
      <c r="A62" s="109" t="s">
        <v>53</v>
      </c>
      <c r="B62" s="148">
        <v>0</v>
      </c>
      <c r="C62" s="148">
        <v>2000</v>
      </c>
      <c r="D62" s="117">
        <v>2000</v>
      </c>
      <c r="E62" s="117">
        <f t="shared" si="5"/>
        <v>0</v>
      </c>
    </row>
    <row r="63" spans="1:6" x14ac:dyDescent="0.3">
      <c r="A63" s="109" t="s">
        <v>54</v>
      </c>
      <c r="B63" s="148">
        <v>0</v>
      </c>
      <c r="C63" s="148">
        <v>800</v>
      </c>
      <c r="D63" s="117">
        <f>180+38.88+600</f>
        <v>818.88</v>
      </c>
      <c r="E63" s="117">
        <f t="shared" si="5"/>
        <v>18.879999999999995</v>
      </c>
    </row>
    <row r="64" spans="1:6" x14ac:dyDescent="0.3">
      <c r="A64" s="109" t="s">
        <v>55</v>
      </c>
      <c r="B64" s="148">
        <v>0</v>
      </c>
      <c r="C64" s="148">
        <v>250</v>
      </c>
      <c r="D64" s="117">
        <v>0</v>
      </c>
      <c r="E64" s="117">
        <f t="shared" si="5"/>
        <v>-250</v>
      </c>
    </row>
    <row r="65" spans="1:9" ht="20.25" x14ac:dyDescent="0.4">
      <c r="A65" s="109" t="s">
        <v>56</v>
      </c>
      <c r="B65" s="153">
        <v>0</v>
      </c>
      <c r="C65" s="153">
        <v>250</v>
      </c>
      <c r="D65" s="144">
        <v>0</v>
      </c>
      <c r="E65" s="144">
        <f t="shared" si="5"/>
        <v>-250</v>
      </c>
    </row>
    <row r="66" spans="1:9" s="4" customFormat="1" ht="20.25" x14ac:dyDescent="0.4">
      <c r="A66" s="115" t="s">
        <v>10</v>
      </c>
      <c r="B66" s="153">
        <v>0</v>
      </c>
      <c r="C66" s="150">
        <f>SUM(C59:C65)</f>
        <v>24500</v>
      </c>
      <c r="D66" s="145">
        <f>SUM(D59:D65)</f>
        <v>13071.239999999998</v>
      </c>
      <c r="E66" s="146">
        <f t="shared" si="5"/>
        <v>-11428.760000000002</v>
      </c>
      <c r="I66" s="3"/>
    </row>
    <row r="67" spans="1:9" x14ac:dyDescent="0.3">
      <c r="A67" s="125"/>
      <c r="B67" s="119"/>
      <c r="C67" s="119"/>
      <c r="D67" s="117"/>
      <c r="E67" s="118"/>
    </row>
    <row r="68" spans="1:9" x14ac:dyDescent="0.3">
      <c r="A68" s="124" t="s">
        <v>57</v>
      </c>
      <c r="B68" s="140" t="s">
        <v>3</v>
      </c>
      <c r="C68" s="140" t="s">
        <v>4</v>
      </c>
      <c r="D68" s="141" t="s">
        <v>5</v>
      </c>
      <c r="E68" s="142" t="s">
        <v>91</v>
      </c>
    </row>
    <row r="69" spans="1:9" x14ac:dyDescent="0.3">
      <c r="A69" s="109" t="s">
        <v>58</v>
      </c>
      <c r="B69" s="148">
        <v>0</v>
      </c>
      <c r="C69" s="148">
        <v>2600</v>
      </c>
      <c r="D69" s="117">
        <v>0</v>
      </c>
      <c r="E69" s="117">
        <f t="shared" ref="E69:E74" si="6">D69-C69</f>
        <v>-2600</v>
      </c>
    </row>
    <row r="70" spans="1:9" x14ac:dyDescent="0.3">
      <c r="A70" s="109" t="s">
        <v>59</v>
      </c>
      <c r="B70" s="148">
        <v>0</v>
      </c>
      <c r="C70" s="148">
        <v>0</v>
      </c>
      <c r="D70" s="117">
        <v>0</v>
      </c>
      <c r="E70" s="117">
        <f t="shared" si="6"/>
        <v>0</v>
      </c>
    </row>
    <row r="71" spans="1:9" x14ac:dyDescent="0.3">
      <c r="A71" s="109" t="s">
        <v>60</v>
      </c>
      <c r="B71" s="107">
        <v>0</v>
      </c>
      <c r="C71" s="148">
        <v>0</v>
      </c>
      <c r="D71" s="117">
        <v>0</v>
      </c>
      <c r="E71" s="117">
        <f t="shared" si="6"/>
        <v>0</v>
      </c>
    </row>
    <row r="72" spans="1:9" x14ac:dyDescent="0.3">
      <c r="A72" s="109" t="s">
        <v>61</v>
      </c>
      <c r="B72" s="107">
        <v>0</v>
      </c>
      <c r="C72" s="148">
        <v>0</v>
      </c>
      <c r="D72" s="117">
        <v>0</v>
      </c>
      <c r="E72" s="117">
        <f t="shared" si="6"/>
        <v>0</v>
      </c>
    </row>
    <row r="73" spans="1:9" ht="20.25" x14ac:dyDescent="0.4">
      <c r="A73" s="109" t="s">
        <v>62</v>
      </c>
      <c r="B73" s="156">
        <v>0</v>
      </c>
      <c r="C73" s="153">
        <v>0</v>
      </c>
      <c r="D73" s="144">
        <v>0</v>
      </c>
      <c r="E73" s="144">
        <f t="shared" si="6"/>
        <v>0</v>
      </c>
    </row>
    <row r="74" spans="1:9" ht="20.25" x14ac:dyDescent="0.4">
      <c r="A74" s="115" t="s">
        <v>10</v>
      </c>
      <c r="B74" s="153">
        <v>0</v>
      </c>
      <c r="C74" s="150">
        <f>SUM(C69:C73)</f>
        <v>2600</v>
      </c>
      <c r="D74" s="146">
        <f>D69+D70+D71+D72+D73</f>
        <v>0</v>
      </c>
      <c r="E74" s="146">
        <f t="shared" si="6"/>
        <v>-2600</v>
      </c>
    </row>
    <row r="75" spans="1:9" x14ac:dyDescent="0.3">
      <c r="A75" s="115"/>
      <c r="B75" s="148"/>
      <c r="C75" s="162"/>
      <c r="D75" s="117"/>
      <c r="E75" s="117"/>
    </row>
    <row r="76" spans="1:9" ht="20.25" x14ac:dyDescent="0.4">
      <c r="A76" s="126" t="s">
        <v>63</v>
      </c>
      <c r="B76" s="163">
        <f>SUM(B56,B45,B37,B19,B9)</f>
        <v>53299</v>
      </c>
      <c r="C76" s="163">
        <f>SUM(C74,C66,C56,C45,C37,C19,C9)</f>
        <v>84355</v>
      </c>
      <c r="D76" s="164">
        <f>SUM(D74,D66,D56,D45,D37,D19,D9)</f>
        <v>47028.539999999994</v>
      </c>
      <c r="E76" s="164">
        <f>SUM(E74,E66,E56,E45,E37,E19,E9)</f>
        <v>-37326.460000000006</v>
      </c>
    </row>
    <row r="77" spans="1:9" x14ac:dyDescent="0.3">
      <c r="A77" s="101"/>
      <c r="B77" s="102"/>
      <c r="C77" s="103"/>
      <c r="D77" s="117"/>
      <c r="E77" s="118"/>
    </row>
    <row r="78" spans="1:9" x14ac:dyDescent="0.3">
      <c r="A78" s="127" t="s">
        <v>64</v>
      </c>
      <c r="B78" s="128"/>
      <c r="C78" s="111"/>
      <c r="D78" s="117"/>
      <c r="E78" s="118"/>
    </row>
    <row r="79" spans="1:9" x14ac:dyDescent="0.3">
      <c r="A79" s="129" t="s">
        <v>65</v>
      </c>
      <c r="B79" s="140" t="s">
        <v>3</v>
      </c>
      <c r="C79" s="140" t="s">
        <v>4</v>
      </c>
      <c r="D79" s="141" t="s">
        <v>5</v>
      </c>
      <c r="E79" s="142" t="s">
        <v>91</v>
      </c>
    </row>
    <row r="80" spans="1:9" x14ac:dyDescent="0.3">
      <c r="A80" s="109" t="s">
        <v>66</v>
      </c>
      <c r="B80" s="152">
        <v>0</v>
      </c>
      <c r="C80" s="152">
        <v>9000</v>
      </c>
      <c r="D80" s="155">
        <v>15000</v>
      </c>
      <c r="E80" s="155">
        <f t="shared" ref="E80:E84" si="7">D80-C80</f>
        <v>6000</v>
      </c>
    </row>
    <row r="81" spans="1:9" x14ac:dyDescent="0.3">
      <c r="A81" s="109" t="s">
        <v>67</v>
      </c>
      <c r="B81" s="148">
        <v>0</v>
      </c>
      <c r="C81" s="148">
        <v>5000</v>
      </c>
      <c r="D81" s="117">
        <f>49.5+0.37+26+545.02+1.39+170+1169+72.95+198.71+84+7+195+1</f>
        <v>2519.94</v>
      </c>
      <c r="E81" s="117">
        <f t="shared" si="7"/>
        <v>-2480.06</v>
      </c>
    </row>
    <row r="82" spans="1:9" x14ac:dyDescent="0.3">
      <c r="A82" s="109" t="s">
        <v>68</v>
      </c>
      <c r="B82" s="148">
        <v>0</v>
      </c>
      <c r="C82" s="148">
        <v>2000</v>
      </c>
      <c r="D82" s="117">
        <v>0</v>
      </c>
      <c r="E82" s="117">
        <f t="shared" si="7"/>
        <v>-2000</v>
      </c>
    </row>
    <row r="83" spans="1:9" ht="20.25" x14ac:dyDescent="0.4">
      <c r="A83" s="109" t="s">
        <v>69</v>
      </c>
      <c r="B83" s="153">
        <v>0</v>
      </c>
      <c r="C83" s="153">
        <v>2500</v>
      </c>
      <c r="D83" s="144">
        <v>0</v>
      </c>
      <c r="E83" s="144">
        <f t="shared" si="7"/>
        <v>-2500</v>
      </c>
    </row>
    <row r="84" spans="1:9" s="4" customFormat="1" ht="20.25" x14ac:dyDescent="0.4">
      <c r="A84" s="115" t="s">
        <v>10</v>
      </c>
      <c r="B84" s="153">
        <v>0</v>
      </c>
      <c r="C84" s="150">
        <f>SUM(C80:C83)</f>
        <v>18500</v>
      </c>
      <c r="D84" s="145">
        <f>SUM(D80:D83)</f>
        <v>17519.939999999999</v>
      </c>
      <c r="E84" s="146">
        <f t="shared" si="7"/>
        <v>-980.06000000000131</v>
      </c>
      <c r="I84" s="3"/>
    </row>
    <row r="85" spans="1:9" x14ac:dyDescent="0.3">
      <c r="A85" s="109"/>
      <c r="B85" s="103"/>
      <c r="C85" s="130"/>
      <c r="D85" s="117"/>
      <c r="E85" s="118"/>
    </row>
    <row r="86" spans="1:9" x14ac:dyDescent="0.3">
      <c r="A86" s="129" t="s">
        <v>70</v>
      </c>
      <c r="B86" s="140" t="s">
        <v>3</v>
      </c>
      <c r="C86" s="140" t="s">
        <v>4</v>
      </c>
      <c r="D86" s="141" t="s">
        <v>5</v>
      </c>
      <c r="E86" s="142" t="s">
        <v>91</v>
      </c>
    </row>
    <row r="87" spans="1:9" x14ac:dyDescent="0.3">
      <c r="A87" s="112" t="s">
        <v>42</v>
      </c>
      <c r="B87" s="148">
        <v>32000</v>
      </c>
      <c r="C87" s="148">
        <v>30000</v>
      </c>
      <c r="D87" s="172">
        <f>612.5+385+400+320+504.5+337.5+120.66+221+260+235+577.5+614+460+850+800+425+957.5+1000+1850+1310+3500+663+791+946+2075+750+3033+1576+3+4401+285+61.75+42.75+822+300+814.57</f>
        <v>32304.23</v>
      </c>
      <c r="E87" s="117">
        <f t="shared" ref="E87:E96" si="8">D87-C87</f>
        <v>2304.2299999999996</v>
      </c>
    </row>
    <row r="88" spans="1:9" x14ac:dyDescent="0.3">
      <c r="A88" s="109" t="s">
        <v>43</v>
      </c>
      <c r="B88" s="160">
        <v>12000</v>
      </c>
      <c r="C88" s="160">
        <v>20500</v>
      </c>
      <c r="D88" s="117">
        <f>500+145.87+12859+361+3254.16+2500+100</f>
        <v>19720.03</v>
      </c>
      <c r="E88" s="117">
        <f t="shared" si="8"/>
        <v>-779.97000000000116</v>
      </c>
    </row>
    <row r="89" spans="1:9" x14ac:dyDescent="0.3">
      <c r="A89" s="120" t="s">
        <v>71</v>
      </c>
      <c r="B89" s="148">
        <v>0</v>
      </c>
      <c r="C89" s="148">
        <v>4000</v>
      </c>
      <c r="D89" s="148">
        <v>0</v>
      </c>
      <c r="E89" s="117">
        <f t="shared" si="8"/>
        <v>-4000</v>
      </c>
    </row>
    <row r="90" spans="1:9" x14ac:dyDescent="0.3">
      <c r="A90" s="120" t="s">
        <v>72</v>
      </c>
      <c r="B90" s="148">
        <v>0</v>
      </c>
      <c r="C90" s="148">
        <v>0</v>
      </c>
      <c r="D90" s="117">
        <f>5035.85-5035.85</f>
        <v>0</v>
      </c>
      <c r="E90" s="117">
        <f t="shared" si="8"/>
        <v>0</v>
      </c>
    </row>
    <row r="91" spans="1:9" x14ac:dyDescent="0.3">
      <c r="A91" s="120" t="s">
        <v>94</v>
      </c>
      <c r="B91" s="148">
        <v>0</v>
      </c>
      <c r="C91" s="148">
        <v>0</v>
      </c>
      <c r="D91" s="117">
        <f>5388.25-3079.68</f>
        <v>2308.5700000000002</v>
      </c>
      <c r="E91" s="148">
        <v>0</v>
      </c>
    </row>
    <row r="92" spans="1:9" x14ac:dyDescent="0.3">
      <c r="A92" s="120" t="s">
        <v>73</v>
      </c>
      <c r="B92" s="148">
        <v>0</v>
      </c>
      <c r="C92" s="148">
        <v>0</v>
      </c>
      <c r="D92" s="117">
        <f>194.7+10</f>
        <v>204.7</v>
      </c>
      <c r="E92" s="117">
        <f t="shared" si="8"/>
        <v>204.7</v>
      </c>
    </row>
    <row r="93" spans="1:9" x14ac:dyDescent="0.3">
      <c r="A93" s="109" t="s">
        <v>74</v>
      </c>
      <c r="B93" s="148">
        <v>1000</v>
      </c>
      <c r="C93" s="148">
        <v>3000</v>
      </c>
      <c r="D93" s="117">
        <f>45+330+78</f>
        <v>453</v>
      </c>
      <c r="E93" s="117">
        <f t="shared" si="8"/>
        <v>-2547</v>
      </c>
    </row>
    <row r="94" spans="1:9" x14ac:dyDescent="0.3">
      <c r="A94" s="109" t="s">
        <v>48</v>
      </c>
      <c r="B94" s="148">
        <v>1500</v>
      </c>
      <c r="C94" s="148">
        <v>2000</v>
      </c>
      <c r="D94" s="117">
        <v>663.2</v>
      </c>
      <c r="E94" s="117">
        <f t="shared" si="8"/>
        <v>-1336.8</v>
      </c>
    </row>
    <row r="95" spans="1:9" x14ac:dyDescent="0.3">
      <c r="A95" s="120" t="s">
        <v>75</v>
      </c>
      <c r="B95" s="148">
        <v>1500</v>
      </c>
      <c r="C95" s="148">
        <v>1500</v>
      </c>
      <c r="D95" s="117">
        <v>1187</v>
      </c>
      <c r="E95" s="117">
        <f t="shared" si="8"/>
        <v>-313</v>
      </c>
    </row>
    <row r="96" spans="1:9" x14ac:dyDescent="0.3">
      <c r="A96" s="120" t="s">
        <v>76</v>
      </c>
      <c r="B96" s="148">
        <v>0</v>
      </c>
      <c r="C96" s="148">
        <v>500</v>
      </c>
      <c r="D96" s="117">
        <f>54+14+46</f>
        <v>114</v>
      </c>
      <c r="E96" s="117">
        <f t="shared" si="8"/>
        <v>-386</v>
      </c>
    </row>
    <row r="97" spans="1:8" x14ac:dyDescent="0.3">
      <c r="A97" s="120" t="s">
        <v>77</v>
      </c>
      <c r="B97" s="148">
        <v>5000</v>
      </c>
      <c r="C97" s="148">
        <v>0</v>
      </c>
      <c r="D97" s="148">
        <v>0</v>
      </c>
      <c r="E97" s="148">
        <v>0</v>
      </c>
      <c r="H97" t="s">
        <v>78</v>
      </c>
    </row>
    <row r="98" spans="1:8" ht="20.25" x14ac:dyDescent="0.4">
      <c r="A98" s="122" t="s">
        <v>45</v>
      </c>
      <c r="B98" s="153">
        <v>1500</v>
      </c>
      <c r="C98" s="153">
        <v>0</v>
      </c>
      <c r="D98" s="153">
        <v>0</v>
      </c>
      <c r="E98" s="153">
        <v>0</v>
      </c>
    </row>
    <row r="99" spans="1:8" ht="20.25" x14ac:dyDescent="0.4">
      <c r="A99" s="115" t="s">
        <v>10</v>
      </c>
      <c r="B99" s="150">
        <f>SUM(B87:B98)</f>
        <v>54500</v>
      </c>
      <c r="C99" s="150">
        <f>SUM(C87:C98)</f>
        <v>61500</v>
      </c>
      <c r="D99" s="145">
        <f>SUM(D87:D98)</f>
        <v>56954.729999999989</v>
      </c>
      <c r="E99" s="145">
        <f>SUM(E87:E98)</f>
        <v>-6853.840000000002</v>
      </c>
    </row>
    <row r="100" spans="1:8" x14ac:dyDescent="0.3">
      <c r="A100" s="101"/>
      <c r="B100" s="102"/>
      <c r="C100" s="103"/>
      <c r="D100" s="117"/>
      <c r="E100" s="118"/>
    </row>
    <row r="101" spans="1:8" ht="20.25" x14ac:dyDescent="0.4">
      <c r="A101" s="131" t="s">
        <v>79</v>
      </c>
      <c r="B101" s="165">
        <f>SUM(B81:B99)/2</f>
        <v>54500</v>
      </c>
      <c r="C101" s="165">
        <f>SUM(C99,C84)</f>
        <v>80000</v>
      </c>
      <c r="D101" s="166">
        <f>SUM(D99,D84)</f>
        <v>74474.669999999984</v>
      </c>
      <c r="E101" s="166">
        <f>SUM(E99,E84)</f>
        <v>-7833.9000000000033</v>
      </c>
    </row>
    <row r="102" spans="1:8" x14ac:dyDescent="0.3">
      <c r="A102" s="101"/>
      <c r="B102" s="102"/>
      <c r="C102" s="103"/>
      <c r="D102" s="117"/>
      <c r="E102" s="118"/>
    </row>
    <row r="103" spans="1:8" x14ac:dyDescent="0.3">
      <c r="A103" s="132" t="s">
        <v>80</v>
      </c>
      <c r="B103" s="102"/>
      <c r="C103" s="103"/>
      <c r="D103" s="117"/>
      <c r="E103" s="118"/>
    </row>
    <row r="104" spans="1:8" x14ac:dyDescent="0.3">
      <c r="A104" s="129" t="s">
        <v>81</v>
      </c>
      <c r="B104" s="111"/>
      <c r="C104" s="140" t="s">
        <v>4</v>
      </c>
      <c r="D104" s="143" t="s">
        <v>95</v>
      </c>
      <c r="E104" s="104"/>
    </row>
    <row r="105" spans="1:8" x14ac:dyDescent="0.3">
      <c r="A105" s="109" t="s">
        <v>82</v>
      </c>
      <c r="B105" s="103"/>
      <c r="C105" s="152">
        <v>21938</v>
      </c>
      <c r="D105" s="155">
        <v>42353.25</v>
      </c>
      <c r="E105" s="105"/>
    </row>
    <row r="106" spans="1:8" x14ac:dyDescent="0.3">
      <c r="A106" s="109" t="s">
        <v>83</v>
      </c>
      <c r="B106" s="103"/>
      <c r="C106" s="148">
        <v>4278</v>
      </c>
      <c r="D106" s="117">
        <v>11302</v>
      </c>
      <c r="E106" s="105"/>
    </row>
    <row r="107" spans="1:8" ht="20.25" x14ac:dyDescent="0.4">
      <c r="A107" s="109" t="s">
        <v>84</v>
      </c>
      <c r="B107" s="106"/>
      <c r="C107" s="153">
        <v>1849</v>
      </c>
      <c r="D107" s="144">
        <v>1855.93</v>
      </c>
      <c r="E107" s="105"/>
    </row>
    <row r="108" spans="1:8" ht="20.25" x14ac:dyDescent="0.4">
      <c r="A108" s="115" t="s">
        <v>85</v>
      </c>
      <c r="B108" s="116"/>
      <c r="C108" s="150">
        <f>SUM(C105:C107)</f>
        <v>28065</v>
      </c>
      <c r="D108" s="144">
        <f>SUM(D105:D107)</f>
        <v>55511.18</v>
      </c>
      <c r="E108" s="118"/>
    </row>
    <row r="109" spans="1:8" x14ac:dyDescent="0.3">
      <c r="A109" s="61"/>
      <c r="B109" s="102"/>
      <c r="C109" s="103"/>
      <c r="D109" s="117"/>
      <c r="E109" s="118"/>
    </row>
    <row r="110" spans="1:8" x14ac:dyDescent="0.3">
      <c r="A110" s="129" t="s">
        <v>86</v>
      </c>
      <c r="B110" s="111"/>
      <c r="C110" s="140" t="s">
        <v>4</v>
      </c>
      <c r="D110" s="143" t="s">
        <v>95</v>
      </c>
      <c r="E110" s="118"/>
    </row>
    <row r="111" spans="1:8" x14ac:dyDescent="0.3">
      <c r="A111" s="133" t="s">
        <v>87</v>
      </c>
      <c r="B111" s="119"/>
      <c r="C111" s="119"/>
      <c r="D111" s="134"/>
      <c r="E111" s="118"/>
      <c r="F111" s="2"/>
    </row>
    <row r="112" spans="1:8" x14ac:dyDescent="0.3">
      <c r="A112" s="133" t="s">
        <v>88</v>
      </c>
      <c r="B112" s="119"/>
      <c r="C112" s="162">
        <f>C$101</f>
        <v>80000</v>
      </c>
      <c r="D112" s="167">
        <f>D101</f>
        <v>74474.669999999984</v>
      </c>
      <c r="E112" s="118"/>
    </row>
    <row r="113" spans="1:5" x14ac:dyDescent="0.3">
      <c r="A113" s="133" t="s">
        <v>89</v>
      </c>
      <c r="B113" s="119"/>
      <c r="C113" s="162">
        <f>-C76</f>
        <v>-84355</v>
      </c>
      <c r="D113" s="167">
        <f>-D76</f>
        <v>-47028.539999999994</v>
      </c>
      <c r="E113" s="118"/>
    </row>
    <row r="114" spans="1:5" ht="20.25" x14ac:dyDescent="0.4">
      <c r="A114" s="133" t="s">
        <v>92</v>
      </c>
      <c r="B114" s="116"/>
      <c r="C114" s="150">
        <v>0</v>
      </c>
      <c r="D114" s="146">
        <f>-3000+3000</f>
        <v>0</v>
      </c>
      <c r="E114" s="118"/>
    </row>
    <row r="115" spans="1:5" ht="20.25" x14ac:dyDescent="0.4">
      <c r="A115" s="115" t="s">
        <v>90</v>
      </c>
      <c r="B115" s="147"/>
      <c r="C115" s="168">
        <f>C108+C112+C113</f>
        <v>23710</v>
      </c>
      <c r="D115" s="169">
        <f>C108+D112+D113</f>
        <v>55511.12999999999</v>
      </c>
      <c r="E115" s="118"/>
    </row>
    <row r="116" spans="1:5" x14ac:dyDescent="0.3">
      <c r="A116" s="61"/>
      <c r="D116" s="135">
        <f>D108-D115</f>
        <v>5.0000000010186341E-2</v>
      </c>
      <c r="E116" s="136"/>
    </row>
    <row r="117" spans="1:5" x14ac:dyDescent="0.3">
      <c r="D117" s="137"/>
      <c r="E117" s="136"/>
    </row>
    <row r="118" spans="1:5" x14ac:dyDescent="0.3">
      <c r="D118" s="138"/>
    </row>
    <row r="119" spans="1:5" x14ac:dyDescent="0.3">
      <c r="D119" s="138"/>
    </row>
  </sheetData>
  <pageMargins left="0.7" right="0.7" top="0.75" bottom="0.75" header="0.3" footer="0.3"/>
  <pageSetup scale="86" orientation="portrait" r:id="rId1"/>
  <headerFooter>
    <oddFooter>&amp;C&amp;P</oddFooter>
  </headerFooter>
  <rowBreaks count="2" manualBreakCount="2">
    <brk id="38" max="4" man="1"/>
    <brk id="7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"/>
  <sheetViews>
    <sheetView topLeftCell="A103" zoomScaleNormal="100" workbookViewId="0">
      <selection activeCell="B110" activeCellId="1" sqref="B104 B110"/>
    </sheetView>
  </sheetViews>
  <sheetFormatPr defaultColWidth="12.5703125" defaultRowHeight="18.75" x14ac:dyDescent="0.3"/>
  <cols>
    <col min="1" max="1" width="53.5703125" style="47" customWidth="1"/>
    <col min="2" max="2" width="14.85546875" style="48" bestFit="1" customWidth="1"/>
    <col min="3" max="3" width="14.85546875" style="49" bestFit="1" customWidth="1"/>
    <col min="4" max="4" width="14.85546875" style="139" bestFit="1" customWidth="1"/>
    <col min="5" max="5" width="17.28515625" style="47" bestFit="1" customWidth="1"/>
    <col min="9" max="9" width="12.5703125" style="3"/>
  </cols>
  <sheetData>
    <row r="1" spans="1:9" x14ac:dyDescent="0.3">
      <c r="A1" s="6" t="s">
        <v>96</v>
      </c>
      <c r="B1" s="102"/>
      <c r="C1" s="103"/>
      <c r="D1" s="107"/>
      <c r="E1" s="101"/>
    </row>
    <row r="2" spans="1:9" s="4" customFormat="1" ht="15.75" x14ac:dyDescent="0.25">
      <c r="A2" s="6"/>
      <c r="B2" s="103"/>
      <c r="C2" s="103"/>
      <c r="D2" s="108"/>
      <c r="E2" s="109"/>
      <c r="I2" s="7"/>
    </row>
    <row r="3" spans="1:9" x14ac:dyDescent="0.3">
      <c r="A3" s="6" t="s">
        <v>1</v>
      </c>
      <c r="B3" s="102"/>
      <c r="C3" s="103"/>
      <c r="D3" s="107"/>
      <c r="E3" s="101"/>
    </row>
    <row r="4" spans="1:9" x14ac:dyDescent="0.3">
      <c r="A4" s="110" t="s">
        <v>2</v>
      </c>
      <c r="B4" s="140" t="s">
        <v>3</v>
      </c>
      <c r="C4" s="140" t="s">
        <v>4</v>
      </c>
      <c r="D4" s="141" t="s">
        <v>5</v>
      </c>
      <c r="E4" s="142" t="s">
        <v>91</v>
      </c>
    </row>
    <row r="5" spans="1:9" x14ac:dyDescent="0.3">
      <c r="A5" s="112" t="s">
        <v>6</v>
      </c>
      <c r="B5" s="152">
        <v>150</v>
      </c>
      <c r="C5" s="152">
        <v>150</v>
      </c>
      <c r="D5" s="155">
        <f>42.06+84+12</f>
        <v>138.06</v>
      </c>
      <c r="E5" s="155">
        <f>D5-C5</f>
        <v>-11.939999999999998</v>
      </c>
    </row>
    <row r="6" spans="1:9" x14ac:dyDescent="0.3">
      <c r="A6" s="112" t="s">
        <v>7</v>
      </c>
      <c r="B6" s="148">
        <v>150</v>
      </c>
      <c r="C6" s="148">
        <v>150</v>
      </c>
      <c r="D6" s="117">
        <v>0</v>
      </c>
      <c r="E6" s="117">
        <f t="shared" ref="E6:E9" si="0">D6-C6</f>
        <v>-150</v>
      </c>
    </row>
    <row r="7" spans="1:9" x14ac:dyDescent="0.3">
      <c r="A7" s="112" t="s">
        <v>8</v>
      </c>
      <c r="B7" s="148">
        <v>750</v>
      </c>
      <c r="C7" s="148">
        <v>750</v>
      </c>
      <c r="D7" s="117">
        <v>252</v>
      </c>
      <c r="E7" s="117">
        <f t="shared" si="0"/>
        <v>-498</v>
      </c>
    </row>
    <row r="8" spans="1:9" ht="20.25" x14ac:dyDescent="0.4">
      <c r="A8" s="114" t="s">
        <v>9</v>
      </c>
      <c r="B8" s="149">
        <v>2500</v>
      </c>
      <c r="C8" s="153">
        <v>1000</v>
      </c>
      <c r="D8" s="144">
        <v>0</v>
      </c>
      <c r="E8" s="144">
        <f t="shared" si="0"/>
        <v>-1000</v>
      </c>
    </row>
    <row r="9" spans="1:9" ht="20.25" x14ac:dyDescent="0.4">
      <c r="A9" s="115" t="s">
        <v>10</v>
      </c>
      <c r="B9" s="150">
        <f>SUM(B5:B8)</f>
        <v>3550</v>
      </c>
      <c r="C9" s="150">
        <f>SUM(C5:C8)</f>
        <v>2050</v>
      </c>
      <c r="D9" s="154">
        <f>D5+D6+D7+D8</f>
        <v>390.06</v>
      </c>
      <c r="E9" s="146">
        <f t="shared" si="0"/>
        <v>-1659.94</v>
      </c>
    </row>
    <row r="10" spans="1:9" x14ac:dyDescent="0.3">
      <c r="A10" s="101"/>
      <c r="B10" s="102"/>
      <c r="C10" s="103"/>
      <c r="D10" s="117"/>
      <c r="E10" s="118"/>
    </row>
    <row r="11" spans="1:9" x14ac:dyDescent="0.3">
      <c r="A11" s="110" t="s">
        <v>11</v>
      </c>
      <c r="B11" s="140" t="s">
        <v>3</v>
      </c>
      <c r="C11" s="140" t="s">
        <v>4</v>
      </c>
      <c r="D11" s="141" t="s">
        <v>5</v>
      </c>
      <c r="E11" s="142" t="s">
        <v>91</v>
      </c>
    </row>
    <row r="12" spans="1:9" x14ac:dyDescent="0.3">
      <c r="A12" s="112" t="s">
        <v>12</v>
      </c>
      <c r="B12" s="148">
        <v>0</v>
      </c>
      <c r="C12" s="148">
        <v>5000</v>
      </c>
      <c r="D12" s="117">
        <v>0</v>
      </c>
      <c r="E12" s="117">
        <f t="shared" ref="E12:E19" si="1">D12-C12</f>
        <v>-5000</v>
      </c>
    </row>
    <row r="13" spans="1:9" x14ac:dyDescent="0.3">
      <c r="A13" s="112" t="s">
        <v>13</v>
      </c>
      <c r="B13" s="148">
        <v>0</v>
      </c>
      <c r="C13" s="148">
        <v>2500</v>
      </c>
      <c r="D13" s="117">
        <v>2500</v>
      </c>
      <c r="E13" s="117">
        <f t="shared" si="1"/>
        <v>0</v>
      </c>
    </row>
    <row r="14" spans="1:9" x14ac:dyDescent="0.3">
      <c r="A14" s="112" t="s">
        <v>14</v>
      </c>
      <c r="B14" s="148">
        <v>0</v>
      </c>
      <c r="C14" s="148">
        <v>1200</v>
      </c>
      <c r="D14" s="117">
        <v>0</v>
      </c>
      <c r="E14" s="117">
        <f t="shared" si="1"/>
        <v>-1200</v>
      </c>
    </row>
    <row r="15" spans="1:9" x14ac:dyDescent="0.3">
      <c r="A15" s="112" t="s">
        <v>15</v>
      </c>
      <c r="B15" s="148">
        <v>1000</v>
      </c>
      <c r="C15" s="148">
        <v>0</v>
      </c>
      <c r="D15" s="117">
        <v>0</v>
      </c>
      <c r="E15" s="117">
        <f t="shared" si="1"/>
        <v>0</v>
      </c>
    </row>
    <row r="16" spans="1:9" x14ac:dyDescent="0.3">
      <c r="A16" s="112" t="s">
        <v>16</v>
      </c>
      <c r="B16" s="148">
        <v>1000</v>
      </c>
      <c r="C16" s="148">
        <v>500</v>
      </c>
      <c r="D16" s="117">
        <v>0</v>
      </c>
      <c r="E16" s="117">
        <f t="shared" si="1"/>
        <v>-500</v>
      </c>
    </row>
    <row r="17" spans="1:5" x14ac:dyDescent="0.3">
      <c r="A17" s="112" t="s">
        <v>17</v>
      </c>
      <c r="B17" s="148">
        <v>200</v>
      </c>
      <c r="C17" s="148">
        <v>200</v>
      </c>
      <c r="D17" s="117">
        <v>0</v>
      </c>
      <c r="E17" s="117">
        <f t="shared" si="1"/>
        <v>-200</v>
      </c>
    </row>
    <row r="18" spans="1:5" ht="20.25" x14ac:dyDescent="0.4">
      <c r="A18" s="109" t="s">
        <v>18</v>
      </c>
      <c r="B18" s="156">
        <v>0</v>
      </c>
      <c r="C18" s="153">
        <v>300</v>
      </c>
      <c r="D18" s="144">
        <v>0</v>
      </c>
      <c r="E18" s="144">
        <f t="shared" si="1"/>
        <v>-300</v>
      </c>
    </row>
    <row r="19" spans="1:5" ht="20.25" x14ac:dyDescent="0.4">
      <c r="A19" s="115" t="s">
        <v>10</v>
      </c>
      <c r="B19" s="150">
        <f>SUM(B12:B18)</f>
        <v>2200</v>
      </c>
      <c r="C19" s="150">
        <f>SUM(C12:C18)</f>
        <v>9700</v>
      </c>
      <c r="D19" s="146">
        <f>D12+D13+D14+D15+D16+D17+D18</f>
        <v>2500</v>
      </c>
      <c r="E19" s="146">
        <f t="shared" si="1"/>
        <v>-7200</v>
      </c>
    </row>
    <row r="20" spans="1:5" x14ac:dyDescent="0.3">
      <c r="A20" s="101"/>
      <c r="B20" s="102"/>
      <c r="C20" s="103"/>
      <c r="D20" s="117"/>
      <c r="E20" s="118"/>
    </row>
    <row r="21" spans="1:5" x14ac:dyDescent="0.3">
      <c r="A21" s="110" t="s">
        <v>19</v>
      </c>
      <c r="B21" s="140" t="s">
        <v>3</v>
      </c>
      <c r="C21" s="140" t="s">
        <v>4</v>
      </c>
      <c r="D21" s="141" t="s">
        <v>5</v>
      </c>
      <c r="E21" s="142" t="s">
        <v>91</v>
      </c>
    </row>
    <row r="22" spans="1:5" x14ac:dyDescent="0.3">
      <c r="A22" s="112" t="s">
        <v>20</v>
      </c>
      <c r="B22" s="148">
        <v>4650</v>
      </c>
      <c r="C22" s="148">
        <v>5400</v>
      </c>
      <c r="D22" s="157">
        <f>5250+150+150+150+150</f>
        <v>5850</v>
      </c>
      <c r="E22" s="117">
        <f t="shared" ref="E22:E37" si="2">D22-C22</f>
        <v>450</v>
      </c>
    </row>
    <row r="23" spans="1:5" x14ac:dyDescent="0.3">
      <c r="A23" s="112" t="s">
        <v>21</v>
      </c>
      <c r="B23" s="148">
        <v>2457</v>
      </c>
      <c r="C23" s="148">
        <v>2000</v>
      </c>
      <c r="D23" s="158">
        <v>1000</v>
      </c>
      <c r="E23" s="117">
        <f t="shared" si="2"/>
        <v>-1000</v>
      </c>
    </row>
    <row r="24" spans="1:5" x14ac:dyDescent="0.3">
      <c r="A24" s="112" t="s">
        <v>22</v>
      </c>
      <c r="B24" s="148">
        <v>2457</v>
      </c>
      <c r="C24" s="148">
        <v>2000</v>
      </c>
      <c r="D24" s="158">
        <v>1000</v>
      </c>
      <c r="E24" s="117">
        <f t="shared" si="2"/>
        <v>-1000</v>
      </c>
    </row>
    <row r="25" spans="1:5" x14ac:dyDescent="0.3">
      <c r="A25" s="112" t="s">
        <v>23</v>
      </c>
      <c r="B25" s="148">
        <v>2457</v>
      </c>
      <c r="C25" s="148">
        <v>2000</v>
      </c>
      <c r="D25" s="158">
        <v>1000</v>
      </c>
      <c r="E25" s="117">
        <f t="shared" si="2"/>
        <v>-1000</v>
      </c>
    </row>
    <row r="26" spans="1:5" x14ac:dyDescent="0.3">
      <c r="A26" s="112" t="s">
        <v>24</v>
      </c>
      <c r="B26" s="148">
        <v>3791</v>
      </c>
      <c r="C26" s="148">
        <v>2000</v>
      </c>
      <c r="D26" s="158">
        <v>1000</v>
      </c>
      <c r="E26" s="117">
        <f t="shared" si="2"/>
        <v>-1000</v>
      </c>
    </row>
    <row r="27" spans="1:5" x14ac:dyDescent="0.3">
      <c r="A27" s="112" t="s">
        <v>25</v>
      </c>
      <c r="B27" s="148">
        <v>3791</v>
      </c>
      <c r="C27" s="148">
        <v>2000</v>
      </c>
      <c r="D27" s="158">
        <v>1000</v>
      </c>
      <c r="E27" s="117">
        <f t="shared" si="2"/>
        <v>-1000</v>
      </c>
    </row>
    <row r="28" spans="1:5" x14ac:dyDescent="0.3">
      <c r="A28" s="112" t="s">
        <v>26</v>
      </c>
      <c r="B28" s="148">
        <v>3791</v>
      </c>
      <c r="C28" s="148">
        <v>2000</v>
      </c>
      <c r="D28" s="117">
        <v>1000</v>
      </c>
      <c r="E28" s="117">
        <f t="shared" si="2"/>
        <v>-1000</v>
      </c>
    </row>
    <row r="29" spans="1:5" x14ac:dyDescent="0.3">
      <c r="A29" s="112" t="s">
        <v>27</v>
      </c>
      <c r="B29" s="148">
        <v>0</v>
      </c>
      <c r="C29" s="148">
        <v>500</v>
      </c>
      <c r="D29" s="159">
        <v>250</v>
      </c>
      <c r="E29" s="117">
        <f t="shared" si="2"/>
        <v>-250</v>
      </c>
    </row>
    <row r="30" spans="1:5" x14ac:dyDescent="0.3">
      <c r="A30" s="112" t="s">
        <v>28</v>
      </c>
      <c r="B30" s="148">
        <v>0</v>
      </c>
      <c r="C30" s="160">
        <v>1000</v>
      </c>
      <c r="D30" s="159">
        <v>0</v>
      </c>
      <c r="E30" s="117">
        <f t="shared" si="2"/>
        <v>-1000</v>
      </c>
    </row>
    <row r="31" spans="1:5" x14ac:dyDescent="0.3">
      <c r="A31" s="112" t="s">
        <v>29</v>
      </c>
      <c r="B31" s="148">
        <v>1000</v>
      </c>
      <c r="C31" s="160">
        <v>1000</v>
      </c>
      <c r="D31" s="117">
        <v>0</v>
      </c>
      <c r="E31" s="117">
        <f t="shared" si="2"/>
        <v>-1000</v>
      </c>
    </row>
    <row r="32" spans="1:5" x14ac:dyDescent="0.3">
      <c r="A32" s="120" t="s">
        <v>30</v>
      </c>
      <c r="B32" s="107">
        <v>0</v>
      </c>
      <c r="C32" s="148">
        <v>500</v>
      </c>
      <c r="D32" s="117">
        <v>0</v>
      </c>
      <c r="E32" s="117">
        <f t="shared" si="2"/>
        <v>-500</v>
      </c>
    </row>
    <row r="33" spans="1:5" x14ac:dyDescent="0.3">
      <c r="A33" s="120" t="s">
        <v>31</v>
      </c>
      <c r="B33" s="107">
        <v>0</v>
      </c>
      <c r="C33" s="148"/>
      <c r="D33" s="117">
        <v>500</v>
      </c>
      <c r="E33" s="117">
        <f t="shared" si="2"/>
        <v>500</v>
      </c>
    </row>
    <row r="34" spans="1:5" x14ac:dyDescent="0.3">
      <c r="A34" s="112" t="s">
        <v>32</v>
      </c>
      <c r="B34" s="148">
        <v>600</v>
      </c>
      <c r="C34" s="148">
        <v>600</v>
      </c>
      <c r="D34" s="117">
        <v>666.61</v>
      </c>
      <c r="E34" s="117">
        <f t="shared" si="2"/>
        <v>66.610000000000014</v>
      </c>
    </row>
    <row r="35" spans="1:5" x14ac:dyDescent="0.3">
      <c r="A35" s="112" t="s">
        <v>33</v>
      </c>
      <c r="B35" s="148">
        <v>125</v>
      </c>
      <c r="C35" s="148">
        <v>125</v>
      </c>
      <c r="D35" s="117">
        <v>96.3</v>
      </c>
      <c r="E35" s="117">
        <f t="shared" si="2"/>
        <v>-28.700000000000003</v>
      </c>
    </row>
    <row r="36" spans="1:5" ht="20.25" x14ac:dyDescent="0.4">
      <c r="A36" s="112" t="s">
        <v>34</v>
      </c>
      <c r="B36" s="153">
        <v>50</v>
      </c>
      <c r="C36" s="153">
        <v>50</v>
      </c>
      <c r="D36" s="144">
        <v>0</v>
      </c>
      <c r="E36" s="144">
        <f t="shared" si="2"/>
        <v>-50</v>
      </c>
    </row>
    <row r="37" spans="1:5" ht="20.25" x14ac:dyDescent="0.4">
      <c r="A37" s="115" t="s">
        <v>10</v>
      </c>
      <c r="B37" s="150">
        <f>SUM(B22:B36)</f>
        <v>25169</v>
      </c>
      <c r="C37" s="150">
        <f>SUM(C22:C36)</f>
        <v>21175</v>
      </c>
      <c r="D37" s="146">
        <f>D22+D23+D24+D25+D26+D27+D28+D29+D30+D31+D32+D33+D34+D35+D36</f>
        <v>13362.91</v>
      </c>
      <c r="E37" s="146">
        <f t="shared" si="2"/>
        <v>-7812.09</v>
      </c>
    </row>
    <row r="38" spans="1:5" x14ac:dyDescent="0.3">
      <c r="A38" s="115"/>
      <c r="B38" s="119"/>
      <c r="C38" s="119"/>
      <c r="D38" s="117"/>
      <c r="E38" s="118"/>
    </row>
    <row r="39" spans="1:5" x14ac:dyDescent="0.3">
      <c r="A39" s="110" t="s">
        <v>35</v>
      </c>
      <c r="B39" s="140" t="s">
        <v>3</v>
      </c>
      <c r="C39" s="140" t="s">
        <v>4</v>
      </c>
      <c r="D39" s="141" t="s">
        <v>5</v>
      </c>
      <c r="E39" s="142" t="s">
        <v>91</v>
      </c>
    </row>
    <row r="40" spans="1:5" x14ac:dyDescent="0.3">
      <c r="A40" s="112" t="s">
        <v>36</v>
      </c>
      <c r="B40" s="151">
        <v>1500</v>
      </c>
      <c r="C40" s="151">
        <v>1000</v>
      </c>
      <c r="D40" s="113">
        <v>0</v>
      </c>
      <c r="E40" s="113">
        <f t="shared" ref="E40:E45" si="3">D40-C40</f>
        <v>-1000</v>
      </c>
    </row>
    <row r="41" spans="1:5" x14ac:dyDescent="0.3">
      <c r="A41" s="112" t="s">
        <v>37</v>
      </c>
      <c r="B41" s="148">
        <v>600</v>
      </c>
      <c r="C41" s="148">
        <v>600</v>
      </c>
      <c r="D41" s="117">
        <v>482.55</v>
      </c>
      <c r="E41" s="117">
        <f t="shared" si="3"/>
        <v>-117.44999999999999</v>
      </c>
    </row>
    <row r="42" spans="1:5" x14ac:dyDescent="0.3">
      <c r="A42" s="112" t="s">
        <v>38</v>
      </c>
      <c r="B42" s="148">
        <v>450</v>
      </c>
      <c r="C42" s="148">
        <v>450</v>
      </c>
      <c r="D42" s="117">
        <v>212.56</v>
      </c>
      <c r="E42" s="117">
        <f t="shared" si="3"/>
        <v>-237.44</v>
      </c>
    </row>
    <row r="43" spans="1:5" x14ac:dyDescent="0.3">
      <c r="A43" s="112" t="s">
        <v>39</v>
      </c>
      <c r="B43" s="148">
        <v>630</v>
      </c>
      <c r="C43" s="148">
        <v>630</v>
      </c>
      <c r="D43" s="117">
        <f>35+165+35+40+40</f>
        <v>315</v>
      </c>
      <c r="E43" s="117">
        <f t="shared" si="3"/>
        <v>-315</v>
      </c>
    </row>
    <row r="44" spans="1:5" ht="20.25" x14ac:dyDescent="0.4">
      <c r="A44" s="112" t="s">
        <v>40</v>
      </c>
      <c r="B44" s="153">
        <v>300</v>
      </c>
      <c r="C44" s="153">
        <v>300</v>
      </c>
      <c r="D44" s="144">
        <v>0</v>
      </c>
      <c r="E44" s="144">
        <f t="shared" si="3"/>
        <v>-300</v>
      </c>
    </row>
    <row r="45" spans="1:5" ht="20.25" x14ac:dyDescent="0.4">
      <c r="A45" s="115" t="s">
        <v>10</v>
      </c>
      <c r="B45" s="150">
        <f>SUM(B40:B44)</f>
        <v>3480</v>
      </c>
      <c r="C45" s="150">
        <f>SUM(C40:C44)</f>
        <v>2980</v>
      </c>
      <c r="D45" s="146">
        <f>D40+D41+D42+D43+D44</f>
        <v>1010.11</v>
      </c>
      <c r="E45" s="146">
        <f t="shared" si="3"/>
        <v>-1969.8899999999999</v>
      </c>
    </row>
    <row r="46" spans="1:5" x14ac:dyDescent="0.3">
      <c r="A46" s="101"/>
      <c r="B46" s="121"/>
      <c r="C46" s="103"/>
      <c r="D46" s="117"/>
      <c r="E46" s="118"/>
    </row>
    <row r="47" spans="1:5" x14ac:dyDescent="0.3">
      <c r="A47" s="110" t="s">
        <v>41</v>
      </c>
      <c r="B47" s="140" t="s">
        <v>3</v>
      </c>
      <c r="C47" s="140" t="s">
        <v>4</v>
      </c>
      <c r="D47" s="141" t="s">
        <v>5</v>
      </c>
      <c r="E47" s="142" t="s">
        <v>91</v>
      </c>
    </row>
    <row r="48" spans="1:5" x14ac:dyDescent="0.3">
      <c r="A48" s="112" t="s">
        <v>42</v>
      </c>
      <c r="B48" s="170">
        <v>18000</v>
      </c>
      <c r="C48" s="170">
        <v>18000</v>
      </c>
      <c r="D48" s="171">
        <f>500+2000+1213.93+4918.9+115.33+1425.76+410</f>
        <v>10583.92</v>
      </c>
      <c r="E48" s="171">
        <f t="shared" ref="E48:E56" si="4">D48-C48</f>
        <v>-7416.08</v>
      </c>
    </row>
    <row r="49" spans="1:6" x14ac:dyDescent="0.3">
      <c r="A49" s="112" t="s">
        <v>43</v>
      </c>
      <c r="B49" s="148">
        <v>750</v>
      </c>
      <c r="C49" s="148">
        <v>750</v>
      </c>
      <c r="D49" s="117">
        <f>203.89+354.48+158.05+146.97</f>
        <v>863.3900000000001</v>
      </c>
      <c r="E49" s="117">
        <f t="shared" si="4"/>
        <v>113.3900000000001</v>
      </c>
    </row>
    <row r="50" spans="1:6" x14ac:dyDescent="0.3">
      <c r="A50" s="112" t="s">
        <v>44</v>
      </c>
      <c r="B50" s="148">
        <v>150</v>
      </c>
      <c r="C50" s="148">
        <v>600</v>
      </c>
      <c r="D50" s="117">
        <f>75+98.94+17.18</f>
        <v>191.12</v>
      </c>
      <c r="E50" s="117">
        <f t="shared" si="4"/>
        <v>-408.88</v>
      </c>
    </row>
    <row r="51" spans="1:6" x14ac:dyDescent="0.3">
      <c r="A51" s="122" t="s">
        <v>45</v>
      </c>
      <c r="B51" s="148">
        <v>0</v>
      </c>
      <c r="C51" s="148">
        <v>0</v>
      </c>
      <c r="D51" s="117">
        <v>0</v>
      </c>
      <c r="E51" s="117">
        <f t="shared" si="4"/>
        <v>0</v>
      </c>
    </row>
    <row r="52" spans="1:6" x14ac:dyDescent="0.3">
      <c r="A52" s="122" t="s">
        <v>46</v>
      </c>
      <c r="B52" s="148">
        <v>0</v>
      </c>
      <c r="C52" s="148">
        <v>1000</v>
      </c>
      <c r="D52" s="117">
        <v>0</v>
      </c>
      <c r="E52" s="117">
        <f t="shared" si="4"/>
        <v>-1000</v>
      </c>
    </row>
    <row r="53" spans="1:6" x14ac:dyDescent="0.3">
      <c r="A53" s="122" t="s">
        <v>93</v>
      </c>
      <c r="B53" s="148">
        <v>0</v>
      </c>
      <c r="C53" s="148">
        <v>0</v>
      </c>
      <c r="D53" s="117">
        <f>600+263.92</f>
        <v>863.92000000000007</v>
      </c>
      <c r="E53" s="117">
        <f t="shared" si="4"/>
        <v>863.92000000000007</v>
      </c>
    </row>
    <row r="54" spans="1:6" x14ac:dyDescent="0.3">
      <c r="A54" s="122" t="s">
        <v>47</v>
      </c>
      <c r="B54" s="148">
        <v>0</v>
      </c>
      <c r="C54" s="148">
        <v>1000</v>
      </c>
      <c r="D54" s="117">
        <v>39.869999999999997</v>
      </c>
      <c r="E54" s="117">
        <f t="shared" si="4"/>
        <v>-960.13</v>
      </c>
    </row>
    <row r="55" spans="1:6" ht="20.25" x14ac:dyDescent="0.4">
      <c r="A55" s="123" t="s">
        <v>48</v>
      </c>
      <c r="B55" s="161">
        <v>0</v>
      </c>
      <c r="C55" s="161">
        <v>0</v>
      </c>
      <c r="D55" s="144">
        <v>0</v>
      </c>
      <c r="E55" s="144">
        <f t="shared" si="4"/>
        <v>0</v>
      </c>
    </row>
    <row r="56" spans="1:6" ht="20.25" x14ac:dyDescent="0.4">
      <c r="A56" s="115" t="s">
        <v>10</v>
      </c>
      <c r="B56" s="150">
        <f>SUM(B48:B55)</f>
        <v>18900</v>
      </c>
      <c r="C56" s="150">
        <f>SUM(C48:C55)</f>
        <v>21350</v>
      </c>
      <c r="D56" s="146">
        <f>D48+D49+D50+D51+D52+D54+D55+D53</f>
        <v>12542.220000000001</v>
      </c>
      <c r="E56" s="146">
        <f t="shared" si="4"/>
        <v>-8807.7799999999988</v>
      </c>
      <c r="F56" s="100"/>
    </row>
    <row r="57" spans="1:6" x14ac:dyDescent="0.3">
      <c r="A57" s="101"/>
      <c r="B57" s="102"/>
      <c r="C57" s="103"/>
      <c r="D57" s="117"/>
      <c r="E57" s="118"/>
    </row>
    <row r="58" spans="1:6" x14ac:dyDescent="0.3">
      <c r="A58" s="124" t="s">
        <v>49</v>
      </c>
      <c r="B58" s="140" t="s">
        <v>3</v>
      </c>
      <c r="C58" s="140" t="s">
        <v>4</v>
      </c>
      <c r="D58" s="141" t="s">
        <v>5</v>
      </c>
      <c r="E58" s="142" t="s">
        <v>91</v>
      </c>
    </row>
    <row r="59" spans="1:6" x14ac:dyDescent="0.3">
      <c r="A59" s="109" t="s">
        <v>50</v>
      </c>
      <c r="B59" s="148">
        <v>0</v>
      </c>
      <c r="C59" s="148">
        <v>15000</v>
      </c>
      <c r="D59" s="117">
        <f>1125+1500+675+600+900+1200+300</f>
        <v>6300</v>
      </c>
      <c r="E59" s="117">
        <f t="shared" ref="E59:E66" si="5">D59-C59</f>
        <v>-8700</v>
      </c>
    </row>
    <row r="60" spans="1:6" x14ac:dyDescent="0.3">
      <c r="A60" s="101" t="s">
        <v>51</v>
      </c>
      <c r="B60" s="148">
        <v>0</v>
      </c>
      <c r="C60" s="148">
        <v>5000</v>
      </c>
      <c r="D60" s="117">
        <f>1800+113.73</f>
        <v>1913.73</v>
      </c>
      <c r="E60" s="117">
        <f t="shared" si="5"/>
        <v>-3086.27</v>
      </c>
    </row>
    <row r="61" spans="1:6" x14ac:dyDescent="0.3">
      <c r="A61" s="109" t="s">
        <v>52</v>
      </c>
      <c r="B61" s="148">
        <v>0</v>
      </c>
      <c r="C61" s="148">
        <v>1200</v>
      </c>
      <c r="D61" s="117">
        <f>180+658.63</f>
        <v>838.63</v>
      </c>
      <c r="E61" s="117">
        <f t="shared" si="5"/>
        <v>-361.37</v>
      </c>
    </row>
    <row r="62" spans="1:6" x14ac:dyDescent="0.3">
      <c r="A62" s="109" t="s">
        <v>53</v>
      </c>
      <c r="B62" s="148">
        <v>0</v>
      </c>
      <c r="C62" s="148">
        <v>2000</v>
      </c>
      <c r="D62" s="117">
        <v>2000</v>
      </c>
      <c r="E62" s="117">
        <f t="shared" si="5"/>
        <v>0</v>
      </c>
    </row>
    <row r="63" spans="1:6" x14ac:dyDescent="0.3">
      <c r="A63" s="109" t="s">
        <v>54</v>
      </c>
      <c r="B63" s="148">
        <v>0</v>
      </c>
      <c r="C63" s="148">
        <v>800</v>
      </c>
      <c r="D63" s="117">
        <f>180+38.88+600</f>
        <v>818.88</v>
      </c>
      <c r="E63" s="117">
        <f t="shared" si="5"/>
        <v>18.879999999999995</v>
      </c>
    </row>
    <row r="64" spans="1:6" x14ac:dyDescent="0.3">
      <c r="A64" s="109" t="s">
        <v>55</v>
      </c>
      <c r="B64" s="148">
        <v>0</v>
      </c>
      <c r="C64" s="148">
        <v>250</v>
      </c>
      <c r="D64" s="117">
        <v>0</v>
      </c>
      <c r="E64" s="117">
        <f t="shared" si="5"/>
        <v>-250</v>
      </c>
    </row>
    <row r="65" spans="1:9" ht="20.25" x14ac:dyDescent="0.4">
      <c r="A65" s="109" t="s">
        <v>56</v>
      </c>
      <c r="B65" s="153">
        <v>0</v>
      </c>
      <c r="C65" s="153">
        <v>250</v>
      </c>
      <c r="D65" s="144">
        <v>0</v>
      </c>
      <c r="E65" s="144">
        <f t="shared" si="5"/>
        <v>-250</v>
      </c>
    </row>
    <row r="66" spans="1:9" s="4" customFormat="1" ht="20.25" x14ac:dyDescent="0.4">
      <c r="A66" s="115" t="s">
        <v>10</v>
      </c>
      <c r="B66" s="153">
        <v>0</v>
      </c>
      <c r="C66" s="150">
        <f>SUM(C59:C65)</f>
        <v>24500</v>
      </c>
      <c r="D66" s="145">
        <f>SUM(D59:D65)</f>
        <v>11871.239999999998</v>
      </c>
      <c r="E66" s="146">
        <f t="shared" si="5"/>
        <v>-12628.760000000002</v>
      </c>
      <c r="I66" s="3"/>
    </row>
    <row r="67" spans="1:9" x14ac:dyDescent="0.3">
      <c r="A67" s="125"/>
      <c r="B67" s="119"/>
      <c r="C67" s="119"/>
      <c r="D67" s="117"/>
      <c r="E67" s="118"/>
    </row>
    <row r="68" spans="1:9" x14ac:dyDescent="0.3">
      <c r="A68" s="124" t="s">
        <v>57</v>
      </c>
      <c r="B68" s="140" t="s">
        <v>3</v>
      </c>
      <c r="C68" s="140" t="s">
        <v>4</v>
      </c>
      <c r="D68" s="141" t="s">
        <v>5</v>
      </c>
      <c r="E68" s="142" t="s">
        <v>91</v>
      </c>
    </row>
    <row r="69" spans="1:9" x14ac:dyDescent="0.3">
      <c r="A69" s="109" t="s">
        <v>58</v>
      </c>
      <c r="B69" s="148">
        <v>0</v>
      </c>
      <c r="C69" s="148">
        <v>2600</v>
      </c>
      <c r="D69" s="117">
        <v>0</v>
      </c>
      <c r="E69" s="117">
        <f t="shared" ref="E69:E74" si="6">D69-C69</f>
        <v>-2600</v>
      </c>
    </row>
    <row r="70" spans="1:9" x14ac:dyDescent="0.3">
      <c r="A70" s="109" t="s">
        <v>59</v>
      </c>
      <c r="B70" s="148">
        <v>0</v>
      </c>
      <c r="C70" s="148">
        <v>0</v>
      </c>
      <c r="D70" s="117">
        <v>0</v>
      </c>
      <c r="E70" s="117">
        <f t="shared" si="6"/>
        <v>0</v>
      </c>
    </row>
    <row r="71" spans="1:9" x14ac:dyDescent="0.3">
      <c r="A71" s="109" t="s">
        <v>60</v>
      </c>
      <c r="B71" s="107">
        <v>0</v>
      </c>
      <c r="C71" s="148">
        <v>0</v>
      </c>
      <c r="D71" s="117">
        <v>0</v>
      </c>
      <c r="E71" s="117">
        <f t="shared" si="6"/>
        <v>0</v>
      </c>
    </row>
    <row r="72" spans="1:9" x14ac:dyDescent="0.3">
      <c r="A72" s="109" t="s">
        <v>61</v>
      </c>
      <c r="B72" s="107">
        <v>0</v>
      </c>
      <c r="C72" s="148">
        <v>0</v>
      </c>
      <c r="D72" s="117">
        <v>0</v>
      </c>
      <c r="E72" s="117">
        <f t="shared" si="6"/>
        <v>0</v>
      </c>
    </row>
    <row r="73" spans="1:9" ht="20.25" x14ac:dyDescent="0.4">
      <c r="A73" s="109" t="s">
        <v>62</v>
      </c>
      <c r="B73" s="156">
        <v>0</v>
      </c>
      <c r="C73" s="153">
        <v>0</v>
      </c>
      <c r="D73" s="144">
        <v>0</v>
      </c>
      <c r="E73" s="144">
        <f t="shared" si="6"/>
        <v>0</v>
      </c>
    </row>
    <row r="74" spans="1:9" ht="20.25" x14ac:dyDescent="0.4">
      <c r="A74" s="115" t="s">
        <v>10</v>
      </c>
      <c r="B74" s="153">
        <v>0</v>
      </c>
      <c r="C74" s="150">
        <f>SUM(C69:C73)</f>
        <v>2600</v>
      </c>
      <c r="D74" s="146">
        <f>D69+D70+D71+D72+D73</f>
        <v>0</v>
      </c>
      <c r="E74" s="146">
        <f t="shared" si="6"/>
        <v>-2600</v>
      </c>
    </row>
    <row r="75" spans="1:9" x14ac:dyDescent="0.3">
      <c r="A75" s="115"/>
      <c r="B75" s="148"/>
      <c r="C75" s="162"/>
      <c r="D75" s="117"/>
      <c r="E75" s="117"/>
    </row>
    <row r="76" spans="1:9" ht="20.25" x14ac:dyDescent="0.4">
      <c r="A76" s="126" t="s">
        <v>63</v>
      </c>
      <c r="B76" s="163">
        <f>SUM(B56,B45,B37,B19,B9)</f>
        <v>53299</v>
      </c>
      <c r="C76" s="163">
        <f>SUM(C74,C66,C56,C45,C37,C19,C9)</f>
        <v>84355</v>
      </c>
      <c r="D76" s="164">
        <f>SUM(D74,D66,D56,D45,D37,D19,D9)</f>
        <v>41676.539999999994</v>
      </c>
      <c r="E76" s="164">
        <f>SUM(E74,E66,E56,E45,E37,E19,E9)</f>
        <v>-42678.460000000006</v>
      </c>
    </row>
    <row r="77" spans="1:9" x14ac:dyDescent="0.3">
      <c r="A77" s="101"/>
      <c r="B77" s="102"/>
      <c r="C77" s="103"/>
      <c r="D77" s="117"/>
      <c r="E77" s="118"/>
    </row>
    <row r="78" spans="1:9" x14ac:dyDescent="0.3">
      <c r="A78" s="127" t="s">
        <v>64</v>
      </c>
      <c r="B78" s="128"/>
      <c r="C78" s="111"/>
      <c r="D78" s="117"/>
      <c r="E78" s="118"/>
    </row>
    <row r="79" spans="1:9" x14ac:dyDescent="0.3">
      <c r="A79" s="129" t="s">
        <v>65</v>
      </c>
      <c r="B79" s="140" t="s">
        <v>3</v>
      </c>
      <c r="C79" s="140" t="s">
        <v>4</v>
      </c>
      <c r="D79" s="141" t="s">
        <v>5</v>
      </c>
      <c r="E79" s="142" t="s">
        <v>91</v>
      </c>
    </row>
    <row r="80" spans="1:9" x14ac:dyDescent="0.3">
      <c r="A80" s="109" t="s">
        <v>66</v>
      </c>
      <c r="B80" s="152">
        <v>0</v>
      </c>
      <c r="C80" s="152">
        <v>9000</v>
      </c>
      <c r="D80" s="155">
        <v>15000</v>
      </c>
      <c r="E80" s="155">
        <f t="shared" ref="E80:E84" si="7">D80-C80</f>
        <v>6000</v>
      </c>
    </row>
    <row r="81" spans="1:9" x14ac:dyDescent="0.3">
      <c r="A81" s="109" t="s">
        <v>67</v>
      </c>
      <c r="B81" s="148">
        <v>0</v>
      </c>
      <c r="C81" s="148">
        <v>5000</v>
      </c>
      <c r="D81" s="117">
        <f>49.5+0.37+26+545.02+1.39+170+1169+72.95+198.71+84+7</f>
        <v>2323.94</v>
      </c>
      <c r="E81" s="117">
        <f t="shared" si="7"/>
        <v>-2676.06</v>
      </c>
    </row>
    <row r="82" spans="1:9" x14ac:dyDescent="0.3">
      <c r="A82" s="109" t="s">
        <v>68</v>
      </c>
      <c r="B82" s="148">
        <v>0</v>
      </c>
      <c r="C82" s="148">
        <v>2000</v>
      </c>
      <c r="D82" s="117">
        <v>0</v>
      </c>
      <c r="E82" s="117">
        <f t="shared" si="7"/>
        <v>-2000</v>
      </c>
    </row>
    <row r="83" spans="1:9" ht="20.25" x14ac:dyDescent="0.4">
      <c r="A83" s="109" t="s">
        <v>69</v>
      </c>
      <c r="B83" s="153">
        <v>0</v>
      </c>
      <c r="C83" s="153">
        <v>2500</v>
      </c>
      <c r="D83" s="144">
        <v>0</v>
      </c>
      <c r="E83" s="144">
        <f t="shared" si="7"/>
        <v>-2500</v>
      </c>
    </row>
    <row r="84" spans="1:9" s="4" customFormat="1" ht="20.25" x14ac:dyDescent="0.4">
      <c r="A84" s="115" t="s">
        <v>10</v>
      </c>
      <c r="B84" s="153">
        <v>0</v>
      </c>
      <c r="C84" s="150">
        <f>SUM(C80:C83)</f>
        <v>18500</v>
      </c>
      <c r="D84" s="145">
        <f>SUM(D80:D83)</f>
        <v>17323.939999999999</v>
      </c>
      <c r="E84" s="146">
        <f t="shared" si="7"/>
        <v>-1176.0600000000013</v>
      </c>
      <c r="I84" s="3"/>
    </row>
    <row r="85" spans="1:9" x14ac:dyDescent="0.3">
      <c r="A85" s="109"/>
      <c r="B85" s="103"/>
      <c r="C85" s="130"/>
      <c r="D85" s="117"/>
      <c r="E85" s="118"/>
    </row>
    <row r="86" spans="1:9" x14ac:dyDescent="0.3">
      <c r="A86" s="129" t="s">
        <v>70</v>
      </c>
      <c r="B86" s="140" t="s">
        <v>3</v>
      </c>
      <c r="C86" s="140" t="s">
        <v>4</v>
      </c>
      <c r="D86" s="141" t="s">
        <v>5</v>
      </c>
      <c r="E86" s="142" t="s">
        <v>91</v>
      </c>
    </row>
    <row r="87" spans="1:9" x14ac:dyDescent="0.3">
      <c r="A87" s="112" t="s">
        <v>42</v>
      </c>
      <c r="B87" s="148">
        <v>32000</v>
      </c>
      <c r="C87" s="148">
        <v>30000</v>
      </c>
      <c r="D87" s="117">
        <f>612.5+385+400+320+504.5+337.5+120.66+221+260+235+577.5+614+460+850+800+425+957.5+1000+1850+1310+3500+663+791+946+2075+750+3033+1576+3</f>
        <v>25577.16</v>
      </c>
      <c r="E87" s="117">
        <f t="shared" ref="E87:E96" si="8">D87-C87</f>
        <v>-4422.84</v>
      </c>
    </row>
    <row r="88" spans="1:9" x14ac:dyDescent="0.3">
      <c r="A88" s="109" t="s">
        <v>43</v>
      </c>
      <c r="B88" s="160">
        <v>12000</v>
      </c>
      <c r="C88" s="160">
        <v>20500</v>
      </c>
      <c r="D88" s="117">
        <f>500+145.87+12859+361+3254.16+2500+100</f>
        <v>19720.03</v>
      </c>
      <c r="E88" s="117">
        <f t="shared" si="8"/>
        <v>-779.97000000000116</v>
      </c>
    </row>
    <row r="89" spans="1:9" x14ac:dyDescent="0.3">
      <c r="A89" s="120" t="s">
        <v>71</v>
      </c>
      <c r="B89" s="148">
        <v>0</v>
      </c>
      <c r="C89" s="148">
        <v>4000</v>
      </c>
      <c r="D89" s="148">
        <v>0</v>
      </c>
      <c r="E89" s="117">
        <f t="shared" si="8"/>
        <v>-4000</v>
      </c>
    </row>
    <row r="90" spans="1:9" x14ac:dyDescent="0.3">
      <c r="A90" s="120" t="s">
        <v>72</v>
      </c>
      <c r="B90" s="148">
        <v>0</v>
      </c>
      <c r="C90" s="148">
        <v>0</v>
      </c>
      <c r="D90" s="117">
        <f>5035.85-5035.85</f>
        <v>0</v>
      </c>
      <c r="E90" s="117">
        <f t="shared" si="8"/>
        <v>0</v>
      </c>
    </row>
    <row r="91" spans="1:9" x14ac:dyDescent="0.3">
      <c r="A91" s="120" t="s">
        <v>94</v>
      </c>
      <c r="B91" s="148">
        <v>0</v>
      </c>
      <c r="C91" s="148">
        <v>0</v>
      </c>
      <c r="D91" s="117">
        <f>5388.25-3079.68</f>
        <v>2308.5700000000002</v>
      </c>
      <c r="E91" s="148">
        <v>0</v>
      </c>
    </row>
    <row r="92" spans="1:9" x14ac:dyDescent="0.3">
      <c r="A92" s="120" t="s">
        <v>73</v>
      </c>
      <c r="B92" s="148">
        <v>0</v>
      </c>
      <c r="C92" s="148">
        <v>0</v>
      </c>
      <c r="D92" s="117">
        <f>194.7+10</f>
        <v>204.7</v>
      </c>
      <c r="E92" s="117">
        <f t="shared" si="8"/>
        <v>204.7</v>
      </c>
    </row>
    <row r="93" spans="1:9" x14ac:dyDescent="0.3">
      <c r="A93" s="109" t="s">
        <v>74</v>
      </c>
      <c r="B93" s="148">
        <v>1000</v>
      </c>
      <c r="C93" s="148">
        <v>3000</v>
      </c>
      <c r="D93" s="117">
        <v>45</v>
      </c>
      <c r="E93" s="117">
        <f t="shared" si="8"/>
        <v>-2955</v>
      </c>
    </row>
    <row r="94" spans="1:9" x14ac:dyDescent="0.3">
      <c r="A94" s="109" t="s">
        <v>48</v>
      </c>
      <c r="B94" s="148">
        <v>1500</v>
      </c>
      <c r="C94" s="148">
        <v>2000</v>
      </c>
      <c r="D94" s="117">
        <v>663.2</v>
      </c>
      <c r="E94" s="117">
        <f t="shared" si="8"/>
        <v>-1336.8</v>
      </c>
    </row>
    <row r="95" spans="1:9" x14ac:dyDescent="0.3">
      <c r="A95" s="120" t="s">
        <v>75</v>
      </c>
      <c r="B95" s="148">
        <v>1500</v>
      </c>
      <c r="C95" s="148">
        <v>1500</v>
      </c>
      <c r="D95" s="117">
        <v>1187</v>
      </c>
      <c r="E95" s="117">
        <f t="shared" si="8"/>
        <v>-313</v>
      </c>
    </row>
    <row r="96" spans="1:9" x14ac:dyDescent="0.3">
      <c r="A96" s="120" t="s">
        <v>76</v>
      </c>
      <c r="B96" s="148">
        <v>0</v>
      </c>
      <c r="C96" s="148">
        <v>500</v>
      </c>
      <c r="D96" s="117">
        <f>54+14+46</f>
        <v>114</v>
      </c>
      <c r="E96" s="117">
        <f t="shared" si="8"/>
        <v>-386</v>
      </c>
    </row>
    <row r="97" spans="1:8" x14ac:dyDescent="0.3">
      <c r="A97" s="120" t="s">
        <v>77</v>
      </c>
      <c r="B97" s="148">
        <v>5000</v>
      </c>
      <c r="C97" s="148">
        <v>0</v>
      </c>
      <c r="D97" s="148">
        <v>0</v>
      </c>
      <c r="E97" s="148">
        <v>0</v>
      </c>
      <c r="H97" t="s">
        <v>78</v>
      </c>
    </row>
    <row r="98" spans="1:8" ht="20.25" x14ac:dyDescent="0.4">
      <c r="A98" s="122" t="s">
        <v>45</v>
      </c>
      <c r="B98" s="153">
        <v>1500</v>
      </c>
      <c r="C98" s="153">
        <v>0</v>
      </c>
      <c r="D98" s="153">
        <v>0</v>
      </c>
      <c r="E98" s="153">
        <v>0</v>
      </c>
    </row>
    <row r="99" spans="1:8" ht="20.25" x14ac:dyDescent="0.4">
      <c r="A99" s="115" t="s">
        <v>10</v>
      </c>
      <c r="B99" s="150">
        <f>SUM(B87:B98)</f>
        <v>54500</v>
      </c>
      <c r="C99" s="150">
        <f>SUM(C87:C98)</f>
        <v>61500</v>
      </c>
      <c r="D99" s="145">
        <f>SUM(D87:D98)</f>
        <v>49819.659999999996</v>
      </c>
      <c r="E99" s="145">
        <f>SUM(E87:E98)</f>
        <v>-13988.91</v>
      </c>
    </row>
    <row r="100" spans="1:8" x14ac:dyDescent="0.3">
      <c r="A100" s="101"/>
      <c r="B100" s="102"/>
      <c r="C100" s="103"/>
      <c r="D100" s="117"/>
      <c r="E100" s="118"/>
    </row>
    <row r="101" spans="1:8" ht="20.25" x14ac:dyDescent="0.4">
      <c r="A101" s="131" t="s">
        <v>79</v>
      </c>
      <c r="B101" s="165">
        <f>SUM(B81:B99)/2</f>
        <v>54500</v>
      </c>
      <c r="C101" s="165">
        <f>SUM(C99,C84)</f>
        <v>80000</v>
      </c>
      <c r="D101" s="166">
        <f>SUM(D99,D84)</f>
        <v>67143.599999999991</v>
      </c>
      <c r="E101" s="166">
        <f>SUM(E99,E84)</f>
        <v>-15164.970000000001</v>
      </c>
    </row>
    <row r="102" spans="1:8" x14ac:dyDescent="0.3">
      <c r="A102" s="101"/>
      <c r="B102" s="102"/>
      <c r="C102" s="103"/>
      <c r="D102" s="117"/>
      <c r="E102" s="118"/>
    </row>
    <row r="103" spans="1:8" x14ac:dyDescent="0.3">
      <c r="A103" s="132" t="s">
        <v>80</v>
      </c>
      <c r="B103" s="102"/>
      <c r="C103" s="103"/>
      <c r="D103" s="117"/>
      <c r="E103" s="118"/>
    </row>
    <row r="104" spans="1:8" x14ac:dyDescent="0.3">
      <c r="A104" s="129" t="s">
        <v>81</v>
      </c>
      <c r="B104" s="111"/>
      <c r="C104" s="140" t="s">
        <v>4</v>
      </c>
      <c r="D104" s="143" t="s">
        <v>95</v>
      </c>
      <c r="E104" s="104"/>
    </row>
    <row r="105" spans="1:8" x14ac:dyDescent="0.3">
      <c r="A105" s="109" t="s">
        <v>82</v>
      </c>
      <c r="B105" s="103"/>
      <c r="C105" s="152">
        <v>21938</v>
      </c>
      <c r="D105" s="155">
        <v>39370.18</v>
      </c>
      <c r="E105" s="105"/>
    </row>
    <row r="106" spans="1:8" x14ac:dyDescent="0.3">
      <c r="A106" s="109" t="s">
        <v>83</v>
      </c>
      <c r="B106" s="103"/>
      <c r="C106" s="148">
        <v>4278</v>
      </c>
      <c r="D106" s="117">
        <v>12305.69</v>
      </c>
      <c r="E106" s="105"/>
    </row>
    <row r="107" spans="1:8" ht="20.25" x14ac:dyDescent="0.4">
      <c r="A107" s="109" t="s">
        <v>84</v>
      </c>
      <c r="B107" s="106"/>
      <c r="C107" s="153">
        <v>1849</v>
      </c>
      <c r="D107" s="144">
        <v>1855.93</v>
      </c>
      <c r="E107" s="105"/>
    </row>
    <row r="108" spans="1:8" ht="20.25" x14ac:dyDescent="0.4">
      <c r="A108" s="115" t="s">
        <v>85</v>
      </c>
      <c r="B108" s="116"/>
      <c r="C108" s="150">
        <f>SUM(C105:C107)</f>
        <v>28065</v>
      </c>
      <c r="D108" s="144">
        <f>SUM(D105:D107)</f>
        <v>53531.8</v>
      </c>
      <c r="E108" s="118"/>
    </row>
    <row r="109" spans="1:8" x14ac:dyDescent="0.3">
      <c r="A109" s="61"/>
      <c r="B109" s="102"/>
      <c r="C109" s="103"/>
      <c r="D109" s="117"/>
      <c r="E109" s="118"/>
    </row>
    <row r="110" spans="1:8" x14ac:dyDescent="0.3">
      <c r="A110" s="129" t="s">
        <v>86</v>
      </c>
      <c r="B110" s="111"/>
      <c r="C110" s="140" t="s">
        <v>4</v>
      </c>
      <c r="D110" s="143" t="s">
        <v>95</v>
      </c>
      <c r="E110" s="118"/>
    </row>
    <row r="111" spans="1:8" x14ac:dyDescent="0.3">
      <c r="A111" s="133" t="s">
        <v>87</v>
      </c>
      <c r="B111" s="119"/>
      <c r="C111" s="119"/>
      <c r="D111" s="134"/>
      <c r="E111" s="118"/>
      <c r="F111" s="2"/>
    </row>
    <row r="112" spans="1:8" x14ac:dyDescent="0.3">
      <c r="A112" s="133" t="s">
        <v>88</v>
      </c>
      <c r="B112" s="119"/>
      <c r="C112" s="162">
        <f>C$101</f>
        <v>80000</v>
      </c>
      <c r="D112" s="167">
        <f>D101</f>
        <v>67143.599999999991</v>
      </c>
      <c r="E112" s="118"/>
    </row>
    <row r="113" spans="1:5" x14ac:dyDescent="0.3">
      <c r="A113" s="133" t="s">
        <v>89</v>
      </c>
      <c r="B113" s="119"/>
      <c r="C113" s="162">
        <f>-C76</f>
        <v>-84355</v>
      </c>
      <c r="D113" s="167">
        <f>-D76</f>
        <v>-41676.539999999994</v>
      </c>
      <c r="E113" s="118"/>
    </row>
    <row r="114" spans="1:5" ht="20.25" x14ac:dyDescent="0.4">
      <c r="A114" s="133" t="s">
        <v>92</v>
      </c>
      <c r="B114" s="116"/>
      <c r="C114" s="150">
        <v>0</v>
      </c>
      <c r="D114" s="146">
        <f>-3000+3000</f>
        <v>0</v>
      </c>
      <c r="E114" s="118"/>
    </row>
    <row r="115" spans="1:5" ht="20.25" x14ac:dyDescent="0.4">
      <c r="A115" s="115" t="s">
        <v>90</v>
      </c>
      <c r="B115" s="147"/>
      <c r="C115" s="168">
        <f>C108+C112+C113</f>
        <v>23710</v>
      </c>
      <c r="D115" s="169">
        <f>C108+D112+D113</f>
        <v>53532.06</v>
      </c>
      <c r="E115" s="118"/>
    </row>
    <row r="116" spans="1:5" x14ac:dyDescent="0.3">
      <c r="A116" s="61"/>
      <c r="D116" s="135">
        <f>D108-D115</f>
        <v>-0.25999999999476131</v>
      </c>
      <c r="E116" s="136"/>
    </row>
    <row r="117" spans="1:5" x14ac:dyDescent="0.3">
      <c r="D117" s="137"/>
      <c r="E117" s="136"/>
    </row>
    <row r="118" spans="1:5" x14ac:dyDescent="0.3">
      <c r="D118" s="138"/>
    </row>
    <row r="119" spans="1:5" x14ac:dyDescent="0.3">
      <c r="D119" s="138"/>
    </row>
  </sheetData>
  <pageMargins left="0.7" right="0.7" top="0.75" bottom="0.75" header="0.3" footer="0.3"/>
  <pageSetup scale="86" orientation="portrait" r:id="rId1"/>
  <headerFooter>
    <oddFooter>&amp;C&amp;P</oddFooter>
  </headerFooter>
  <rowBreaks count="2" manualBreakCount="2">
    <brk id="38" max="4" man="1"/>
    <brk id="77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"/>
  <sheetViews>
    <sheetView topLeftCell="A85" workbookViewId="0">
      <selection activeCell="D76" sqref="D76"/>
    </sheetView>
  </sheetViews>
  <sheetFormatPr defaultColWidth="12.5703125" defaultRowHeight="18.75" x14ac:dyDescent="0.3"/>
  <cols>
    <col min="1" max="1" width="58.140625" bestFit="1" customWidth="1"/>
    <col min="2" max="2" width="13.7109375" style="2" bestFit="1" customWidth="1"/>
    <col min="3" max="3" width="12.5703125" style="3"/>
    <col min="4" max="4" width="14.42578125" style="5" bestFit="1" customWidth="1"/>
    <col min="5" max="5" width="17" customWidth="1"/>
    <col min="9" max="9" width="12.5703125" style="3"/>
  </cols>
  <sheetData>
    <row r="1" spans="1:9" ht="21" x14ac:dyDescent="0.35">
      <c r="A1" s="1" t="s">
        <v>0</v>
      </c>
    </row>
    <row r="2" spans="1:9" s="4" customFormat="1" ht="15.75" x14ac:dyDescent="0.25">
      <c r="A2" s="6"/>
      <c r="B2" s="7"/>
      <c r="C2" s="7"/>
      <c r="D2" s="8"/>
      <c r="I2" s="7"/>
    </row>
    <row r="3" spans="1:9" ht="21.75" thickBot="1" x14ac:dyDescent="0.4">
      <c r="A3" s="9" t="s">
        <v>1</v>
      </c>
      <c r="B3" s="10"/>
    </row>
    <row r="4" spans="1:9" ht="21" x14ac:dyDescent="0.35">
      <c r="A4" s="11" t="s">
        <v>2</v>
      </c>
      <c r="B4" s="17" t="s">
        <v>3</v>
      </c>
      <c r="C4" s="85" t="s">
        <v>4</v>
      </c>
      <c r="D4" s="91" t="s">
        <v>5</v>
      </c>
      <c r="E4" s="92" t="s">
        <v>91</v>
      </c>
    </row>
    <row r="5" spans="1:9" x14ac:dyDescent="0.3">
      <c r="A5" s="13" t="s">
        <v>6</v>
      </c>
      <c r="B5" s="12">
        <v>150</v>
      </c>
      <c r="C5" s="12">
        <v>150</v>
      </c>
      <c r="D5" s="89">
        <f>42.06+84+12</f>
        <v>138.06</v>
      </c>
      <c r="E5" s="89">
        <f>D5-C5</f>
        <v>-11.939999999999998</v>
      </c>
    </row>
    <row r="6" spans="1:9" x14ac:dyDescent="0.3">
      <c r="A6" s="13" t="s">
        <v>7</v>
      </c>
      <c r="B6" s="12">
        <v>150</v>
      </c>
      <c r="C6" s="12">
        <v>150</v>
      </c>
      <c r="D6" s="89">
        <v>0</v>
      </c>
      <c r="E6" s="89">
        <f t="shared" ref="E6:E9" si="0">D6-C6</f>
        <v>-150</v>
      </c>
    </row>
    <row r="7" spans="1:9" x14ac:dyDescent="0.3">
      <c r="A7" s="13" t="s">
        <v>8</v>
      </c>
      <c r="B7" s="12">
        <v>750</v>
      </c>
      <c r="C7" s="12">
        <v>750</v>
      </c>
      <c r="D7" s="89">
        <v>252</v>
      </c>
      <c r="E7" s="89">
        <f t="shared" si="0"/>
        <v>-498</v>
      </c>
    </row>
    <row r="8" spans="1:9" x14ac:dyDescent="0.3">
      <c r="A8" s="14" t="s">
        <v>9</v>
      </c>
      <c r="B8" s="15">
        <v>2500</v>
      </c>
      <c r="C8" s="12">
        <v>1000</v>
      </c>
      <c r="D8" s="89">
        <v>0</v>
      </c>
      <c r="E8" s="89">
        <f t="shared" si="0"/>
        <v>-1000</v>
      </c>
    </row>
    <row r="9" spans="1:9" x14ac:dyDescent="0.3">
      <c r="A9" s="16" t="s">
        <v>10</v>
      </c>
      <c r="B9" s="17">
        <f>SUM(B5:B8)</f>
        <v>3550</v>
      </c>
      <c r="C9" s="85">
        <f>SUM(C5:C8)</f>
        <v>2050</v>
      </c>
      <c r="D9" s="90">
        <f>D5+D6+D7+D8</f>
        <v>390.06</v>
      </c>
      <c r="E9" s="84">
        <f t="shared" si="0"/>
        <v>-1659.94</v>
      </c>
    </row>
    <row r="10" spans="1:9" x14ac:dyDescent="0.3">
      <c r="A10" s="18"/>
      <c r="B10" s="19"/>
      <c r="C10" s="12"/>
      <c r="D10" s="87"/>
      <c r="E10" s="86"/>
    </row>
    <row r="11" spans="1:9" ht="21" x14ac:dyDescent="0.35">
      <c r="A11" s="11" t="s">
        <v>11</v>
      </c>
      <c r="B11" s="19"/>
      <c r="C11" s="12"/>
      <c r="D11" s="87"/>
      <c r="E11" s="88"/>
    </row>
    <row r="12" spans="1:9" x14ac:dyDescent="0.3">
      <c r="A12" s="13" t="s">
        <v>12</v>
      </c>
      <c r="B12" s="12"/>
      <c r="C12" s="12">
        <v>5000</v>
      </c>
      <c r="D12" s="89">
        <v>0</v>
      </c>
      <c r="E12" s="89">
        <f t="shared" ref="E12:E18" si="1">D12-C12</f>
        <v>-5000</v>
      </c>
    </row>
    <row r="13" spans="1:9" x14ac:dyDescent="0.3">
      <c r="A13" s="13" t="s">
        <v>13</v>
      </c>
      <c r="B13" s="12"/>
      <c r="C13" s="12">
        <v>2500</v>
      </c>
      <c r="D13" s="89">
        <v>2500</v>
      </c>
      <c r="E13" s="89">
        <f t="shared" si="1"/>
        <v>0</v>
      </c>
    </row>
    <row r="14" spans="1:9" x14ac:dyDescent="0.3">
      <c r="A14" s="13" t="s">
        <v>14</v>
      </c>
      <c r="B14" s="12"/>
      <c r="C14" s="12">
        <v>1200</v>
      </c>
      <c r="D14" s="89">
        <v>0</v>
      </c>
      <c r="E14" s="89">
        <f t="shared" si="1"/>
        <v>-1200</v>
      </c>
    </row>
    <row r="15" spans="1:9" x14ac:dyDescent="0.3">
      <c r="A15" s="13" t="s">
        <v>15</v>
      </c>
      <c r="B15" s="20">
        <v>1000</v>
      </c>
      <c r="C15" s="12">
        <v>0</v>
      </c>
      <c r="D15" s="89">
        <v>0</v>
      </c>
      <c r="E15" s="89">
        <f t="shared" si="1"/>
        <v>0</v>
      </c>
    </row>
    <row r="16" spans="1:9" x14ac:dyDescent="0.3">
      <c r="A16" s="13" t="s">
        <v>16</v>
      </c>
      <c r="B16" s="12">
        <v>1000</v>
      </c>
      <c r="C16" s="12">
        <v>500</v>
      </c>
      <c r="D16" s="89">
        <v>0</v>
      </c>
      <c r="E16" s="89">
        <f t="shared" si="1"/>
        <v>-500</v>
      </c>
    </row>
    <row r="17" spans="1:5" x14ac:dyDescent="0.3">
      <c r="A17" s="13" t="s">
        <v>17</v>
      </c>
      <c r="B17" s="12">
        <v>200</v>
      </c>
      <c r="C17" s="12">
        <v>200</v>
      </c>
      <c r="D17" s="89">
        <v>0</v>
      </c>
      <c r="E17" s="89">
        <f t="shared" si="1"/>
        <v>-200</v>
      </c>
    </row>
    <row r="18" spans="1:5" x14ac:dyDescent="0.3">
      <c r="A18" s="21" t="s">
        <v>18</v>
      </c>
      <c r="B18" s="22"/>
      <c r="C18" s="12">
        <v>300</v>
      </c>
      <c r="D18" s="89">
        <v>0</v>
      </c>
      <c r="E18" s="89">
        <f t="shared" si="1"/>
        <v>-300</v>
      </c>
    </row>
    <row r="19" spans="1:5" x14ac:dyDescent="0.3">
      <c r="A19" s="16" t="s">
        <v>10</v>
      </c>
      <c r="B19" s="17">
        <f>SUM(B12:B18)</f>
        <v>2200</v>
      </c>
      <c r="C19" s="17">
        <f>SUM(C12:C18)</f>
        <v>9700</v>
      </c>
      <c r="D19" s="79">
        <f>D12+D13+D14+D15+D16+D17+D18</f>
        <v>2500</v>
      </c>
      <c r="E19" s="80">
        <f>E12+E13+E14+E15+E16+E17+E18</f>
        <v>-7200</v>
      </c>
    </row>
    <row r="20" spans="1:5" x14ac:dyDescent="0.3">
      <c r="A20" s="18"/>
      <c r="B20" s="19"/>
      <c r="C20" s="12"/>
      <c r="D20" s="87"/>
      <c r="E20" s="88"/>
    </row>
    <row r="21" spans="1:5" ht="21" x14ac:dyDescent="0.35">
      <c r="A21" s="11" t="s">
        <v>19</v>
      </c>
      <c r="B21" s="19"/>
      <c r="C21" s="12"/>
      <c r="D21" s="87"/>
      <c r="E21" s="88"/>
    </row>
    <row r="22" spans="1:5" x14ac:dyDescent="0.3">
      <c r="A22" s="13" t="s">
        <v>20</v>
      </c>
      <c r="B22" s="12">
        <v>4650</v>
      </c>
      <c r="C22" s="12">
        <v>5400</v>
      </c>
      <c r="D22" s="93">
        <f>5250+150+150+150+150</f>
        <v>5850</v>
      </c>
      <c r="E22" s="89">
        <f t="shared" ref="E22:E37" si="2">D22-C22</f>
        <v>450</v>
      </c>
    </row>
    <row r="23" spans="1:5" x14ac:dyDescent="0.3">
      <c r="A23" s="13" t="s">
        <v>21</v>
      </c>
      <c r="B23" s="12">
        <v>2457</v>
      </c>
      <c r="C23" s="12">
        <v>2000</v>
      </c>
      <c r="D23" s="94">
        <v>1000</v>
      </c>
      <c r="E23" s="89">
        <f t="shared" si="2"/>
        <v>-1000</v>
      </c>
    </row>
    <row r="24" spans="1:5" x14ac:dyDescent="0.3">
      <c r="A24" s="13" t="s">
        <v>22</v>
      </c>
      <c r="B24" s="12">
        <v>2457</v>
      </c>
      <c r="C24" s="12">
        <v>2000</v>
      </c>
      <c r="D24" s="94">
        <v>1000</v>
      </c>
      <c r="E24" s="89">
        <f t="shared" si="2"/>
        <v>-1000</v>
      </c>
    </row>
    <row r="25" spans="1:5" x14ac:dyDescent="0.3">
      <c r="A25" s="13" t="s">
        <v>23</v>
      </c>
      <c r="B25" s="12">
        <v>2457</v>
      </c>
      <c r="C25" s="12">
        <v>2000</v>
      </c>
      <c r="D25" s="94">
        <v>1000</v>
      </c>
      <c r="E25" s="89">
        <f t="shared" si="2"/>
        <v>-1000</v>
      </c>
    </row>
    <row r="26" spans="1:5" x14ac:dyDescent="0.3">
      <c r="A26" s="13" t="s">
        <v>24</v>
      </c>
      <c r="B26" s="12">
        <v>3791</v>
      </c>
      <c r="C26" s="12">
        <v>2000</v>
      </c>
      <c r="D26" s="94">
        <v>1000</v>
      </c>
      <c r="E26" s="89">
        <f t="shared" si="2"/>
        <v>-1000</v>
      </c>
    </row>
    <row r="27" spans="1:5" x14ac:dyDescent="0.3">
      <c r="A27" s="13" t="s">
        <v>25</v>
      </c>
      <c r="B27" s="12">
        <v>3791</v>
      </c>
      <c r="C27" s="12">
        <v>2000</v>
      </c>
      <c r="D27" s="94">
        <v>1000</v>
      </c>
      <c r="E27" s="89">
        <f t="shared" si="2"/>
        <v>-1000</v>
      </c>
    </row>
    <row r="28" spans="1:5" x14ac:dyDescent="0.3">
      <c r="A28" s="13" t="s">
        <v>26</v>
      </c>
      <c r="B28" s="12">
        <v>3791</v>
      </c>
      <c r="C28" s="12">
        <v>2000</v>
      </c>
      <c r="D28" s="89">
        <v>1000</v>
      </c>
      <c r="E28" s="89">
        <f t="shared" si="2"/>
        <v>-1000</v>
      </c>
    </row>
    <row r="29" spans="1:5" x14ac:dyDescent="0.3">
      <c r="A29" s="13" t="s">
        <v>27</v>
      </c>
      <c r="B29" s="12"/>
      <c r="C29" s="12">
        <v>500</v>
      </c>
      <c r="D29" s="95">
        <v>250</v>
      </c>
      <c r="E29" s="89">
        <f t="shared" si="2"/>
        <v>-250</v>
      </c>
    </row>
    <row r="30" spans="1:5" x14ac:dyDescent="0.3">
      <c r="A30" s="13" t="s">
        <v>28</v>
      </c>
      <c r="B30" s="12"/>
      <c r="C30" s="23">
        <v>1000</v>
      </c>
      <c r="D30" s="95">
        <v>0</v>
      </c>
      <c r="E30" s="89">
        <f t="shared" si="2"/>
        <v>-1000</v>
      </c>
    </row>
    <row r="31" spans="1:5" x14ac:dyDescent="0.3">
      <c r="A31" s="13" t="s">
        <v>29</v>
      </c>
      <c r="B31" s="12">
        <v>1000</v>
      </c>
      <c r="C31" s="23">
        <v>1000</v>
      </c>
      <c r="D31" s="89">
        <v>0</v>
      </c>
      <c r="E31" s="89">
        <f t="shared" si="2"/>
        <v>-1000</v>
      </c>
    </row>
    <row r="32" spans="1:5" x14ac:dyDescent="0.3">
      <c r="A32" s="24" t="s">
        <v>30</v>
      </c>
      <c r="B32" s="25"/>
      <c r="C32" s="12">
        <v>500</v>
      </c>
      <c r="D32" s="89">
        <v>0</v>
      </c>
      <c r="E32" s="89">
        <f t="shared" si="2"/>
        <v>-500</v>
      </c>
    </row>
    <row r="33" spans="1:5" x14ac:dyDescent="0.3">
      <c r="A33" s="24" t="s">
        <v>31</v>
      </c>
      <c r="B33" s="25"/>
      <c r="C33" s="12"/>
      <c r="D33" s="89">
        <v>500</v>
      </c>
      <c r="E33" s="89">
        <f t="shared" si="2"/>
        <v>500</v>
      </c>
    </row>
    <row r="34" spans="1:5" x14ac:dyDescent="0.3">
      <c r="A34" s="13" t="s">
        <v>32</v>
      </c>
      <c r="B34" s="12">
        <v>600</v>
      </c>
      <c r="C34" s="12">
        <v>600</v>
      </c>
      <c r="D34" s="89">
        <v>666.61</v>
      </c>
      <c r="E34" s="89">
        <f t="shared" si="2"/>
        <v>66.610000000000014</v>
      </c>
    </row>
    <row r="35" spans="1:5" x14ac:dyDescent="0.3">
      <c r="A35" s="13" t="s">
        <v>33</v>
      </c>
      <c r="B35" s="12">
        <v>125</v>
      </c>
      <c r="C35" s="12">
        <v>125</v>
      </c>
      <c r="D35" s="89">
        <v>96.3</v>
      </c>
      <c r="E35" s="89">
        <f t="shared" si="2"/>
        <v>-28.700000000000003</v>
      </c>
    </row>
    <row r="36" spans="1:5" x14ac:dyDescent="0.3">
      <c r="A36" s="13" t="s">
        <v>34</v>
      </c>
      <c r="B36" s="12">
        <v>50</v>
      </c>
      <c r="C36" s="12">
        <v>50</v>
      </c>
      <c r="D36" s="89">
        <v>0</v>
      </c>
      <c r="E36" s="89">
        <f t="shared" si="2"/>
        <v>-50</v>
      </c>
    </row>
    <row r="37" spans="1:5" x14ac:dyDescent="0.3">
      <c r="A37" s="16" t="s">
        <v>10</v>
      </c>
      <c r="B37" s="17">
        <f>SUM(B22:B36)</f>
        <v>25169</v>
      </c>
      <c r="C37" s="17">
        <f>SUM(C22:C36)</f>
        <v>21175</v>
      </c>
      <c r="D37" s="80">
        <f>D22+D23+D24+D25+D26+D27+D28+D29+D30+D31+D32+D33+D34+D35+D36</f>
        <v>13362.91</v>
      </c>
      <c r="E37" s="80">
        <f t="shared" si="2"/>
        <v>-7812.09</v>
      </c>
    </row>
    <row r="38" spans="1:5" x14ac:dyDescent="0.3">
      <c r="A38" s="16"/>
      <c r="B38" s="17"/>
      <c r="C38" s="17"/>
      <c r="D38" s="87"/>
      <c r="E38" s="88"/>
    </row>
    <row r="39" spans="1:5" ht="21" x14ac:dyDescent="0.35">
      <c r="A39" s="11" t="s">
        <v>35</v>
      </c>
      <c r="B39" s="19"/>
      <c r="C39" s="12"/>
      <c r="D39" s="87"/>
      <c r="E39" s="88"/>
    </row>
    <row r="40" spans="1:5" x14ac:dyDescent="0.3">
      <c r="A40" s="13" t="s">
        <v>36</v>
      </c>
      <c r="B40" s="20">
        <v>1500</v>
      </c>
      <c r="C40" s="12">
        <v>1000</v>
      </c>
      <c r="D40" s="89">
        <v>0</v>
      </c>
      <c r="E40" s="89">
        <f t="shared" ref="E40:E45" si="3">D40-C40</f>
        <v>-1000</v>
      </c>
    </row>
    <row r="41" spans="1:5" x14ac:dyDescent="0.3">
      <c r="A41" s="13" t="s">
        <v>37</v>
      </c>
      <c r="B41" s="12">
        <v>600</v>
      </c>
      <c r="C41" s="12">
        <v>600</v>
      </c>
      <c r="D41" s="89">
        <v>482.55</v>
      </c>
      <c r="E41" s="89">
        <f t="shared" si="3"/>
        <v>-117.44999999999999</v>
      </c>
    </row>
    <row r="42" spans="1:5" x14ac:dyDescent="0.3">
      <c r="A42" s="13" t="s">
        <v>38</v>
      </c>
      <c r="B42" s="12">
        <v>450</v>
      </c>
      <c r="C42" s="12">
        <v>450</v>
      </c>
      <c r="D42" s="89">
        <v>212.56</v>
      </c>
      <c r="E42" s="89">
        <f t="shared" si="3"/>
        <v>-237.44</v>
      </c>
    </row>
    <row r="43" spans="1:5" x14ac:dyDescent="0.3">
      <c r="A43" s="13" t="s">
        <v>39</v>
      </c>
      <c r="B43" s="12">
        <v>630</v>
      </c>
      <c r="C43" s="12">
        <v>630</v>
      </c>
      <c r="D43" s="89">
        <f>35+165+35+40+40</f>
        <v>315</v>
      </c>
      <c r="E43" s="89">
        <f t="shared" si="3"/>
        <v>-315</v>
      </c>
    </row>
    <row r="44" spans="1:5" x14ac:dyDescent="0.3">
      <c r="A44" s="13" t="s">
        <v>40</v>
      </c>
      <c r="B44" s="20">
        <v>300</v>
      </c>
      <c r="C44" s="12">
        <v>300</v>
      </c>
      <c r="D44" s="78">
        <v>0</v>
      </c>
      <c r="E44" s="66">
        <f t="shared" si="3"/>
        <v>-300</v>
      </c>
    </row>
    <row r="45" spans="1:5" x14ac:dyDescent="0.3">
      <c r="A45" s="16" t="s">
        <v>10</v>
      </c>
      <c r="B45" s="17">
        <f>SUM(B40:B44)</f>
        <v>3480</v>
      </c>
      <c r="C45" s="17">
        <f>SUM(C40:C44)</f>
        <v>2980</v>
      </c>
      <c r="D45" s="79">
        <f>D40+D41+D42+D43+D44</f>
        <v>1010.11</v>
      </c>
      <c r="E45" s="80">
        <f t="shared" si="3"/>
        <v>-1969.8899999999999</v>
      </c>
    </row>
    <row r="46" spans="1:5" x14ac:dyDescent="0.3">
      <c r="A46" s="18"/>
      <c r="B46" s="26"/>
      <c r="C46" s="12"/>
      <c r="D46" s="87"/>
      <c r="E46" s="88"/>
    </row>
    <row r="47" spans="1:5" ht="21" x14ac:dyDescent="0.35">
      <c r="A47" s="11" t="s">
        <v>41</v>
      </c>
      <c r="B47" s="19"/>
      <c r="C47" s="12"/>
      <c r="D47" s="87"/>
      <c r="E47" s="88"/>
    </row>
    <row r="48" spans="1:5" x14ac:dyDescent="0.3">
      <c r="A48" s="13" t="s">
        <v>42</v>
      </c>
      <c r="B48" s="12">
        <v>18000</v>
      </c>
      <c r="C48" s="12">
        <v>18000</v>
      </c>
      <c r="D48" s="89">
        <f>500+2000+1213.93+4918.9+115.33+1425.76+410</f>
        <v>10583.92</v>
      </c>
      <c r="E48" s="89">
        <f t="shared" ref="E48:E56" si="4">D48-C48</f>
        <v>-7416.08</v>
      </c>
    </row>
    <row r="49" spans="1:5" x14ac:dyDescent="0.3">
      <c r="A49" s="13" t="s">
        <v>43</v>
      </c>
      <c r="B49" s="12">
        <v>750</v>
      </c>
      <c r="C49" s="12">
        <v>750</v>
      </c>
      <c r="D49" s="89">
        <f>203.89+354.48+158.05+146.97</f>
        <v>863.3900000000001</v>
      </c>
      <c r="E49" s="89">
        <f t="shared" si="4"/>
        <v>113.3900000000001</v>
      </c>
    </row>
    <row r="50" spans="1:5" x14ac:dyDescent="0.3">
      <c r="A50" s="13" t="s">
        <v>44</v>
      </c>
      <c r="B50" s="12">
        <v>150</v>
      </c>
      <c r="C50" s="12">
        <v>600</v>
      </c>
      <c r="D50" s="89">
        <v>75</v>
      </c>
      <c r="E50" s="89">
        <f t="shared" si="4"/>
        <v>-525</v>
      </c>
    </row>
    <row r="51" spans="1:5" x14ac:dyDescent="0.3">
      <c r="A51" s="27" t="s">
        <v>45</v>
      </c>
      <c r="B51" s="12">
        <v>0</v>
      </c>
      <c r="C51" s="12">
        <v>0</v>
      </c>
      <c r="D51" s="89">
        <v>0</v>
      </c>
      <c r="E51" s="89">
        <f t="shared" si="4"/>
        <v>0</v>
      </c>
    </row>
    <row r="52" spans="1:5" x14ac:dyDescent="0.3">
      <c r="A52" s="27" t="s">
        <v>46</v>
      </c>
      <c r="B52" s="12"/>
      <c r="C52" s="12">
        <v>1000</v>
      </c>
      <c r="D52" s="89">
        <v>0</v>
      </c>
      <c r="E52" s="89">
        <f t="shared" si="4"/>
        <v>-1000</v>
      </c>
    </row>
    <row r="53" spans="1:5" x14ac:dyDescent="0.3">
      <c r="A53" s="27" t="s">
        <v>93</v>
      </c>
      <c r="B53" s="12"/>
      <c r="C53" s="12"/>
      <c r="D53" s="89">
        <v>600</v>
      </c>
      <c r="E53" s="89">
        <f t="shared" si="4"/>
        <v>600</v>
      </c>
    </row>
    <row r="54" spans="1:5" x14ac:dyDescent="0.3">
      <c r="A54" s="27" t="s">
        <v>47</v>
      </c>
      <c r="B54" s="12"/>
      <c r="C54" s="12">
        <v>1000</v>
      </c>
      <c r="D54" s="89">
        <v>0</v>
      </c>
      <c r="E54" s="89">
        <f t="shared" si="4"/>
        <v>-1000</v>
      </c>
    </row>
    <row r="55" spans="1:5" x14ac:dyDescent="0.3">
      <c r="A55" s="28" t="s">
        <v>48</v>
      </c>
      <c r="B55" s="23">
        <v>0</v>
      </c>
      <c r="C55" s="23">
        <v>0</v>
      </c>
      <c r="D55" s="89">
        <v>0</v>
      </c>
      <c r="E55" s="89">
        <f t="shared" si="4"/>
        <v>0</v>
      </c>
    </row>
    <row r="56" spans="1:5" x14ac:dyDescent="0.3">
      <c r="A56" s="16" t="s">
        <v>10</v>
      </c>
      <c r="B56" s="17">
        <f>SUM(B48:B55)</f>
        <v>18900</v>
      </c>
      <c r="C56" s="17">
        <f>SUM(C48:C55)</f>
        <v>21350</v>
      </c>
      <c r="D56" s="80">
        <f>D48+D49+D50+D51+D52+D54+D55+D53</f>
        <v>12122.31</v>
      </c>
      <c r="E56" s="80">
        <f t="shared" si="4"/>
        <v>-9227.69</v>
      </c>
    </row>
    <row r="57" spans="1:5" x14ac:dyDescent="0.3">
      <c r="A57" s="18"/>
      <c r="B57" s="19"/>
      <c r="C57" s="12"/>
      <c r="D57" s="87"/>
      <c r="E57" s="88"/>
    </row>
    <row r="58" spans="1:5" ht="21" x14ac:dyDescent="0.35">
      <c r="A58" s="29" t="s">
        <v>49</v>
      </c>
      <c r="B58" s="17"/>
      <c r="C58" s="17"/>
      <c r="D58" s="87"/>
      <c r="E58" s="88"/>
    </row>
    <row r="59" spans="1:5" x14ac:dyDescent="0.3">
      <c r="A59" s="21" t="s">
        <v>50</v>
      </c>
      <c r="B59" s="12"/>
      <c r="C59" s="12">
        <v>9000</v>
      </c>
      <c r="D59" s="87">
        <v>0</v>
      </c>
      <c r="E59" s="89">
        <f t="shared" ref="E59:E66" si="5">D59-C59</f>
        <v>-9000</v>
      </c>
    </row>
    <row r="60" spans="1:5" x14ac:dyDescent="0.3">
      <c r="A60" s="30" t="s">
        <v>51</v>
      </c>
      <c r="B60" s="25"/>
      <c r="C60" s="12">
        <v>5000</v>
      </c>
      <c r="D60" s="87">
        <v>0</v>
      </c>
      <c r="E60" s="89">
        <f t="shared" si="5"/>
        <v>-5000</v>
      </c>
    </row>
    <row r="61" spans="1:5" x14ac:dyDescent="0.3">
      <c r="A61" s="21" t="s">
        <v>52</v>
      </c>
      <c r="B61" s="12"/>
      <c r="C61" s="12">
        <v>1200</v>
      </c>
      <c r="D61" s="87">
        <v>0</v>
      </c>
      <c r="E61" s="89">
        <f t="shared" si="5"/>
        <v>-1200</v>
      </c>
    </row>
    <row r="62" spans="1:5" x14ac:dyDescent="0.3">
      <c r="A62" s="21" t="s">
        <v>53</v>
      </c>
      <c r="B62" s="12"/>
      <c r="C62" s="12">
        <v>2000</v>
      </c>
      <c r="D62" s="87">
        <v>0</v>
      </c>
      <c r="E62" s="89">
        <f t="shared" si="5"/>
        <v>-2000</v>
      </c>
    </row>
    <row r="63" spans="1:5" x14ac:dyDescent="0.3">
      <c r="A63" s="21" t="s">
        <v>54</v>
      </c>
      <c r="B63" s="12"/>
      <c r="C63" s="12">
        <v>800</v>
      </c>
      <c r="D63" s="87">
        <v>0</v>
      </c>
      <c r="E63" s="89">
        <f t="shared" si="5"/>
        <v>-800</v>
      </c>
    </row>
    <row r="64" spans="1:5" x14ac:dyDescent="0.3">
      <c r="A64" s="21" t="s">
        <v>55</v>
      </c>
      <c r="B64" s="12"/>
      <c r="C64" s="12">
        <v>250</v>
      </c>
      <c r="D64" s="87">
        <v>0</v>
      </c>
      <c r="E64" s="89">
        <f t="shared" si="5"/>
        <v>-250</v>
      </c>
    </row>
    <row r="65" spans="1:9" x14ac:dyDescent="0.3">
      <c r="A65" s="21" t="s">
        <v>56</v>
      </c>
      <c r="B65" s="12"/>
      <c r="C65" s="12">
        <v>250</v>
      </c>
      <c r="D65" s="87">
        <v>0</v>
      </c>
      <c r="E65" s="89">
        <f t="shared" si="5"/>
        <v>-250</v>
      </c>
    </row>
    <row r="66" spans="1:9" s="4" customFormat="1" x14ac:dyDescent="0.3">
      <c r="A66" s="16" t="s">
        <v>10</v>
      </c>
      <c r="B66" s="12"/>
      <c r="C66" s="17">
        <f>SUM(C59:C65)</f>
        <v>18500</v>
      </c>
      <c r="D66" s="81">
        <f>D59+D60+D61+D62+D63+D64+D65</f>
        <v>0</v>
      </c>
      <c r="E66" s="80">
        <f t="shared" si="5"/>
        <v>-18500</v>
      </c>
      <c r="I66" s="3"/>
    </row>
    <row r="67" spans="1:9" x14ac:dyDescent="0.3">
      <c r="A67" s="31"/>
      <c r="B67" s="17"/>
      <c r="C67" s="17"/>
      <c r="D67" s="87"/>
      <c r="E67" s="88"/>
    </row>
    <row r="68" spans="1:9" ht="21" x14ac:dyDescent="0.35">
      <c r="A68" s="29" t="s">
        <v>57</v>
      </c>
      <c r="B68" s="17"/>
      <c r="C68" s="17"/>
      <c r="D68" s="87"/>
      <c r="E68" s="88"/>
    </row>
    <row r="69" spans="1:9" x14ac:dyDescent="0.3">
      <c r="A69" s="32" t="s">
        <v>58</v>
      </c>
      <c r="B69" s="33"/>
      <c r="C69" s="33">
        <v>2600</v>
      </c>
      <c r="D69" s="87">
        <v>0</v>
      </c>
      <c r="E69" s="89">
        <f t="shared" ref="E69:E74" si="6">D69-C69</f>
        <v>-2600</v>
      </c>
    </row>
    <row r="70" spans="1:9" x14ac:dyDescent="0.3">
      <c r="A70" s="21" t="s">
        <v>59</v>
      </c>
      <c r="B70" s="12"/>
      <c r="C70" s="12">
        <v>0</v>
      </c>
      <c r="D70" s="87">
        <v>0</v>
      </c>
      <c r="E70" s="89">
        <f t="shared" si="6"/>
        <v>0</v>
      </c>
    </row>
    <row r="71" spans="1:9" x14ac:dyDescent="0.3">
      <c r="A71" s="21" t="s">
        <v>60</v>
      </c>
      <c r="B71" s="22"/>
      <c r="C71" s="12">
        <v>0</v>
      </c>
      <c r="D71" s="87">
        <v>0</v>
      </c>
      <c r="E71" s="89">
        <f t="shared" si="6"/>
        <v>0</v>
      </c>
    </row>
    <row r="72" spans="1:9" x14ac:dyDescent="0.3">
      <c r="A72" s="21" t="s">
        <v>61</v>
      </c>
      <c r="B72" s="22"/>
      <c r="C72" s="12">
        <v>0</v>
      </c>
      <c r="D72" s="87">
        <v>0</v>
      </c>
      <c r="E72" s="89">
        <f t="shared" si="6"/>
        <v>0</v>
      </c>
    </row>
    <row r="73" spans="1:9" x14ac:dyDescent="0.3">
      <c r="A73" s="21" t="s">
        <v>62</v>
      </c>
      <c r="B73" s="22"/>
      <c r="C73" s="12">
        <v>0</v>
      </c>
      <c r="D73" s="69">
        <v>0</v>
      </c>
      <c r="E73" s="66">
        <f t="shared" si="6"/>
        <v>0</v>
      </c>
    </row>
    <row r="74" spans="1:9" x14ac:dyDescent="0.3">
      <c r="A74" s="16" t="s">
        <v>10</v>
      </c>
      <c r="B74" s="12"/>
      <c r="C74" s="17">
        <f>SUM(C69:C73)</f>
        <v>2600</v>
      </c>
      <c r="D74" s="82">
        <f>D69+D70+D71+D72+D73</f>
        <v>0</v>
      </c>
      <c r="E74" s="80">
        <f t="shared" si="6"/>
        <v>-2600</v>
      </c>
    </row>
    <row r="75" spans="1:9" ht="19.5" thickBot="1" x14ac:dyDescent="0.35">
      <c r="A75" s="34"/>
      <c r="B75" s="35"/>
      <c r="C75" s="36"/>
      <c r="D75" s="69"/>
      <c r="E75" s="65"/>
    </row>
    <row r="76" spans="1:9" ht="19.5" thickBot="1" x14ac:dyDescent="0.35">
      <c r="A76" s="37" t="s">
        <v>63</v>
      </c>
      <c r="B76" s="38">
        <f>SUM(B56,B45,B37,B19,B9)</f>
        <v>53299</v>
      </c>
      <c r="C76" s="38">
        <f>SUM(C74,C66,C56,C45,C37,C19,C9)</f>
        <v>78355</v>
      </c>
      <c r="D76" s="62">
        <f>SUM(D74,D66,D56,D45,D37,D19,D9)</f>
        <v>29385.390000000003</v>
      </c>
      <c r="E76" s="62">
        <f>SUM(E74,E66,E56,E45,E37,E19,E9)</f>
        <v>-48969.61</v>
      </c>
    </row>
    <row r="77" spans="1:9" x14ac:dyDescent="0.3">
      <c r="D77" s="69"/>
      <c r="E77" s="65"/>
    </row>
    <row r="78" spans="1:9" ht="21" x14ac:dyDescent="0.35">
      <c r="A78" s="39" t="s">
        <v>64</v>
      </c>
      <c r="D78" s="69"/>
      <c r="E78" s="65"/>
    </row>
    <row r="79" spans="1:9" ht="21" x14ac:dyDescent="0.35">
      <c r="A79" s="40" t="s">
        <v>65</v>
      </c>
      <c r="B79" s="12" t="s">
        <v>3</v>
      </c>
      <c r="C79" s="12" t="s">
        <v>4</v>
      </c>
      <c r="D79" s="87"/>
      <c r="E79" s="88"/>
    </row>
    <row r="80" spans="1:9" x14ac:dyDescent="0.3">
      <c r="A80" s="21" t="s">
        <v>66</v>
      </c>
      <c r="B80" s="12"/>
      <c r="C80" s="12">
        <v>9000</v>
      </c>
      <c r="D80" s="87">
        <v>0</v>
      </c>
      <c r="E80" s="89">
        <f t="shared" ref="E80:E84" si="7">D80-C80</f>
        <v>-9000</v>
      </c>
    </row>
    <row r="81" spans="1:9" x14ac:dyDescent="0.3">
      <c r="A81" s="21" t="s">
        <v>67</v>
      </c>
      <c r="B81" s="12"/>
      <c r="C81" s="12">
        <v>5000</v>
      </c>
      <c r="D81" s="87">
        <v>0</v>
      </c>
      <c r="E81" s="89">
        <f t="shared" si="7"/>
        <v>-5000</v>
      </c>
    </row>
    <row r="82" spans="1:9" x14ac:dyDescent="0.3">
      <c r="A82" s="21" t="s">
        <v>68</v>
      </c>
      <c r="B82" s="12"/>
      <c r="C82" s="12">
        <v>2000</v>
      </c>
      <c r="D82" s="87">
        <v>0</v>
      </c>
      <c r="E82" s="89">
        <f t="shared" si="7"/>
        <v>-2000</v>
      </c>
    </row>
    <row r="83" spans="1:9" x14ac:dyDescent="0.3">
      <c r="A83" s="21" t="s">
        <v>69</v>
      </c>
      <c r="B83" s="12"/>
      <c r="C83" s="12">
        <v>2500</v>
      </c>
      <c r="D83" s="69">
        <v>0</v>
      </c>
      <c r="E83" s="66">
        <f t="shared" si="7"/>
        <v>-2500</v>
      </c>
    </row>
    <row r="84" spans="1:9" s="4" customFormat="1" x14ac:dyDescent="0.3">
      <c r="A84" s="16" t="s">
        <v>10</v>
      </c>
      <c r="B84" s="12"/>
      <c r="C84" s="17">
        <f>SUM(C80:C83)</f>
        <v>18500</v>
      </c>
      <c r="D84" s="63">
        <f>SUM(D80:D83)</f>
        <v>0</v>
      </c>
      <c r="E84" s="80">
        <f t="shared" si="7"/>
        <v>-18500</v>
      </c>
      <c r="I84" s="3"/>
    </row>
    <row r="85" spans="1:9" x14ac:dyDescent="0.3">
      <c r="A85" s="21"/>
      <c r="B85" s="12"/>
      <c r="C85" s="41"/>
      <c r="D85" s="69"/>
      <c r="E85" s="65"/>
    </row>
    <row r="86" spans="1:9" ht="21" x14ac:dyDescent="0.35">
      <c r="A86" s="40" t="s">
        <v>70</v>
      </c>
      <c r="B86" s="12"/>
      <c r="C86" s="41"/>
      <c r="D86" s="87"/>
      <c r="E86" s="88"/>
    </row>
    <row r="87" spans="1:9" x14ac:dyDescent="0.3">
      <c r="A87" s="13" t="s">
        <v>42</v>
      </c>
      <c r="B87" s="12">
        <v>32000</v>
      </c>
      <c r="C87" s="33">
        <v>30000</v>
      </c>
      <c r="D87" s="87">
        <f>612.5+385+400+320+504.5+337.5+120.66+221+260+235+577.5+614+460+850+800+425+957.5+1000+1850+1310+3500+663+791+946+2075+750+3033+1576+1</f>
        <v>25575.16</v>
      </c>
      <c r="E87" s="89">
        <f t="shared" ref="E87:E98" si="8">D87-C87</f>
        <v>-4424.84</v>
      </c>
    </row>
    <row r="88" spans="1:9" x14ac:dyDescent="0.3">
      <c r="A88" s="21" t="s">
        <v>43</v>
      </c>
      <c r="B88" s="23">
        <v>12000</v>
      </c>
      <c r="C88" s="23">
        <v>20500</v>
      </c>
      <c r="D88" s="87">
        <f>500+145.87+12859+361+3254.16+2500+100</f>
        <v>19720.03</v>
      </c>
      <c r="E88" s="89">
        <f t="shared" si="8"/>
        <v>-779.97000000000116</v>
      </c>
    </row>
    <row r="89" spans="1:9" x14ac:dyDescent="0.3">
      <c r="A89" s="24" t="s">
        <v>71</v>
      </c>
      <c r="B89" s="33"/>
      <c r="C89" s="33">
        <v>4000</v>
      </c>
      <c r="D89" s="87"/>
      <c r="E89" s="89">
        <f t="shared" si="8"/>
        <v>-4000</v>
      </c>
    </row>
    <row r="90" spans="1:9" x14ac:dyDescent="0.3">
      <c r="A90" s="24" t="s">
        <v>72</v>
      </c>
      <c r="B90" s="33">
        <v>0</v>
      </c>
      <c r="C90" s="33">
        <v>0</v>
      </c>
      <c r="D90" s="87">
        <f>5035.85-5035.85</f>
        <v>0</v>
      </c>
      <c r="E90" s="89">
        <f t="shared" si="8"/>
        <v>0</v>
      </c>
    </row>
    <row r="91" spans="1:9" x14ac:dyDescent="0.3">
      <c r="A91" s="24" t="s">
        <v>94</v>
      </c>
      <c r="B91" s="33"/>
      <c r="C91" s="33"/>
      <c r="D91" s="87">
        <f>5388.25-3079.68</f>
        <v>2308.5700000000002</v>
      </c>
      <c r="E91" s="89"/>
    </row>
    <row r="92" spans="1:9" x14ac:dyDescent="0.3">
      <c r="A92" s="24" t="s">
        <v>73</v>
      </c>
      <c r="B92" s="33"/>
      <c r="C92" s="33"/>
      <c r="D92" s="87">
        <f>194.7+10</f>
        <v>204.7</v>
      </c>
      <c r="E92" s="89">
        <f t="shared" si="8"/>
        <v>204.7</v>
      </c>
    </row>
    <row r="93" spans="1:9" x14ac:dyDescent="0.3">
      <c r="A93" s="21" t="s">
        <v>74</v>
      </c>
      <c r="B93" s="12">
        <v>1000</v>
      </c>
      <c r="C93" s="33">
        <v>3000</v>
      </c>
      <c r="D93" s="87">
        <v>45</v>
      </c>
      <c r="E93" s="89">
        <f t="shared" si="8"/>
        <v>-2955</v>
      </c>
    </row>
    <row r="94" spans="1:9" x14ac:dyDescent="0.3">
      <c r="A94" s="21" t="s">
        <v>48</v>
      </c>
      <c r="B94" s="12">
        <v>1500</v>
      </c>
      <c r="C94" s="33">
        <v>2000</v>
      </c>
      <c r="D94" s="87">
        <v>663.2</v>
      </c>
      <c r="E94" s="89">
        <f t="shared" si="8"/>
        <v>-1336.8</v>
      </c>
    </row>
    <row r="95" spans="1:9" x14ac:dyDescent="0.3">
      <c r="A95" s="24" t="s">
        <v>75</v>
      </c>
      <c r="B95" s="12">
        <v>1500</v>
      </c>
      <c r="C95" s="33">
        <v>1500</v>
      </c>
      <c r="D95" s="87">
        <v>1187</v>
      </c>
      <c r="E95" s="89">
        <f t="shared" si="8"/>
        <v>-313</v>
      </c>
    </row>
    <row r="96" spans="1:9" x14ac:dyDescent="0.3">
      <c r="A96" s="24" t="s">
        <v>76</v>
      </c>
      <c r="B96" s="12"/>
      <c r="C96" s="33">
        <v>500</v>
      </c>
      <c r="D96" s="87">
        <f>54+14+46</f>
        <v>114</v>
      </c>
      <c r="E96" s="89">
        <f t="shared" si="8"/>
        <v>-386</v>
      </c>
    </row>
    <row r="97" spans="1:8" x14ac:dyDescent="0.3">
      <c r="A97" s="24" t="s">
        <v>77</v>
      </c>
      <c r="B97" s="20">
        <v>5000</v>
      </c>
      <c r="C97" s="33"/>
      <c r="D97" s="87"/>
      <c r="E97" s="89">
        <f t="shared" si="8"/>
        <v>0</v>
      </c>
      <c r="H97" t="s">
        <v>78</v>
      </c>
    </row>
    <row r="98" spans="1:8" x14ac:dyDescent="0.3">
      <c r="A98" s="27" t="s">
        <v>45</v>
      </c>
      <c r="B98" s="20">
        <v>1500</v>
      </c>
      <c r="C98" s="33">
        <v>0</v>
      </c>
      <c r="D98" s="69"/>
      <c r="E98" s="66">
        <f t="shared" si="8"/>
        <v>0</v>
      </c>
    </row>
    <row r="99" spans="1:8" x14ac:dyDescent="0.3">
      <c r="A99" s="16" t="s">
        <v>10</v>
      </c>
      <c r="B99" s="42">
        <f>SUM(B87:B98)</f>
        <v>54500</v>
      </c>
      <c r="C99" s="42">
        <f>SUM(C87:C98)</f>
        <v>61500</v>
      </c>
      <c r="D99" s="63">
        <f>SUM(D87:D98)</f>
        <v>49817.659999999996</v>
      </c>
      <c r="E99" s="63">
        <f>SUM(E87:E98)</f>
        <v>-13990.91</v>
      </c>
    </row>
    <row r="100" spans="1:8" ht="19.5" thickBot="1" x14ac:dyDescent="0.35">
      <c r="A100" s="43"/>
      <c r="B100" s="44"/>
      <c r="C100" s="35"/>
      <c r="D100" s="69"/>
      <c r="E100" s="65"/>
    </row>
    <row r="101" spans="1:8" ht="19.5" thickBot="1" x14ac:dyDescent="0.35">
      <c r="A101" s="45" t="s">
        <v>79</v>
      </c>
      <c r="B101" s="46">
        <f>SUM(B81:B99)/2</f>
        <v>54500</v>
      </c>
      <c r="C101" s="46">
        <f>SUM(C99,C84)</f>
        <v>80000</v>
      </c>
      <c r="D101" s="64">
        <f>SUM(D99,D84)</f>
        <v>49817.659999999996</v>
      </c>
      <c r="E101" s="64">
        <f>SUM(E99,E84)</f>
        <v>-32490.91</v>
      </c>
    </row>
    <row r="102" spans="1:8" x14ac:dyDescent="0.3">
      <c r="A102" s="47"/>
      <c r="B102" s="48"/>
      <c r="C102" s="49"/>
      <c r="D102" s="69"/>
      <c r="E102" s="65"/>
    </row>
    <row r="103" spans="1:8" ht="21" x14ac:dyDescent="0.35">
      <c r="A103" s="50" t="s">
        <v>80</v>
      </c>
      <c r="B103" s="10"/>
      <c r="C103" s="51"/>
      <c r="D103" s="69"/>
      <c r="E103" s="65"/>
    </row>
    <row r="104" spans="1:8" ht="21" x14ac:dyDescent="0.35">
      <c r="A104" s="40" t="s">
        <v>81</v>
      </c>
      <c r="B104" s="12" t="s">
        <v>3</v>
      </c>
      <c r="C104" s="12" t="s">
        <v>4</v>
      </c>
      <c r="D104" s="87" t="s">
        <v>95</v>
      </c>
      <c r="E104" s="98"/>
    </row>
    <row r="105" spans="1:8" x14ac:dyDescent="0.3">
      <c r="A105" s="21" t="s">
        <v>82</v>
      </c>
      <c r="B105" s="12"/>
      <c r="C105" s="12">
        <v>21938</v>
      </c>
      <c r="D105" s="87">
        <v>39370.18</v>
      </c>
      <c r="E105" s="99"/>
    </row>
    <row r="106" spans="1:8" x14ac:dyDescent="0.3">
      <c r="A106" s="21" t="s">
        <v>83</v>
      </c>
      <c r="B106" s="12"/>
      <c r="C106" s="12">
        <v>4278</v>
      </c>
      <c r="D106" s="87"/>
      <c r="E106" s="99"/>
    </row>
    <row r="107" spans="1:8" x14ac:dyDescent="0.3">
      <c r="A107" s="21" t="s">
        <v>84</v>
      </c>
      <c r="B107" s="33"/>
      <c r="C107" s="33">
        <v>1849</v>
      </c>
      <c r="D107" s="87"/>
      <c r="E107" s="99"/>
    </row>
    <row r="108" spans="1:8" x14ac:dyDescent="0.3">
      <c r="A108" s="16" t="s">
        <v>85</v>
      </c>
      <c r="B108" s="42"/>
      <c r="C108" s="42">
        <f>SUM(C105:C107)</f>
        <v>28065</v>
      </c>
      <c r="D108" s="87"/>
      <c r="E108" s="65"/>
    </row>
    <row r="109" spans="1:8" x14ac:dyDescent="0.3">
      <c r="A109" s="52"/>
      <c r="B109" s="53"/>
      <c r="C109" s="54"/>
      <c r="D109" s="69"/>
      <c r="E109" s="65"/>
    </row>
    <row r="110" spans="1:8" ht="21" x14ac:dyDescent="0.35">
      <c r="A110" s="40" t="s">
        <v>86</v>
      </c>
      <c r="B110" s="12" t="s">
        <v>3</v>
      </c>
      <c r="C110" s="12" t="s">
        <v>4</v>
      </c>
      <c r="D110" s="69"/>
      <c r="E110" s="65"/>
    </row>
    <row r="111" spans="1:8" x14ac:dyDescent="0.3">
      <c r="A111" s="55" t="s">
        <v>87</v>
      </c>
      <c r="B111" s="42"/>
      <c r="C111" s="42">
        <f>C$108</f>
        <v>28065</v>
      </c>
      <c r="D111" s="69"/>
      <c r="E111" s="65"/>
    </row>
    <row r="112" spans="1:8" x14ac:dyDescent="0.3">
      <c r="A112" s="55" t="s">
        <v>88</v>
      </c>
      <c r="B112" s="56"/>
      <c r="C112" s="56">
        <f>C$101</f>
        <v>80000</v>
      </c>
      <c r="D112" s="68">
        <f>D101</f>
        <v>49817.659999999996</v>
      </c>
      <c r="E112" s="65"/>
    </row>
    <row r="113" spans="1:5" x14ac:dyDescent="0.3">
      <c r="A113" s="58" t="s">
        <v>89</v>
      </c>
      <c r="B113" s="36"/>
      <c r="C113" s="36">
        <f>-C76</f>
        <v>-78355</v>
      </c>
      <c r="D113" s="68">
        <f>D76</f>
        <v>29385.390000000003</v>
      </c>
      <c r="E113" s="65"/>
    </row>
    <row r="114" spans="1:5" ht="19.5" thickBot="1" x14ac:dyDescent="0.35">
      <c r="A114" s="83" t="s">
        <v>92</v>
      </c>
      <c r="B114" s="56"/>
      <c r="C114" s="56"/>
      <c r="D114" s="68">
        <v>-3000</v>
      </c>
      <c r="E114" s="65"/>
    </row>
    <row r="115" spans="1:5" ht="19.5" thickBot="1" x14ac:dyDescent="0.35">
      <c r="A115" s="59" t="s">
        <v>90</v>
      </c>
      <c r="B115" s="60"/>
      <c r="C115" s="96">
        <f>SUM(C111:C113)</f>
        <v>29710</v>
      </c>
      <c r="D115" s="97">
        <f>D112-D113</f>
        <v>20432.269999999993</v>
      </c>
      <c r="E115" s="65"/>
    </row>
    <row r="116" spans="1:5" x14ac:dyDescent="0.3">
      <c r="A116" s="61"/>
      <c r="B116" s="48"/>
      <c r="C116" s="49"/>
      <c r="D116" s="74"/>
      <c r="E116" s="65"/>
    </row>
    <row r="117" spans="1:5" x14ac:dyDescent="0.3">
      <c r="D117" s="68"/>
      <c r="E117" s="65"/>
    </row>
    <row r="118" spans="1:5" x14ac:dyDescent="0.3">
      <c r="D118" s="57"/>
    </row>
    <row r="119" spans="1:5" x14ac:dyDescent="0.3">
      <c r="D119" s="5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"/>
  <sheetViews>
    <sheetView topLeftCell="A99" workbookViewId="0">
      <selection activeCell="C103" sqref="C103"/>
    </sheetView>
  </sheetViews>
  <sheetFormatPr defaultColWidth="12.5703125" defaultRowHeight="18.75" x14ac:dyDescent="0.3"/>
  <cols>
    <col min="1" max="1" width="58.140625" bestFit="1" customWidth="1"/>
    <col min="2" max="2" width="13.7109375" style="2" bestFit="1" customWidth="1"/>
    <col min="3" max="3" width="12.5703125" style="3"/>
    <col min="4" max="4" width="14.42578125" style="5" bestFit="1" customWidth="1"/>
    <col min="5" max="5" width="14.7109375" customWidth="1"/>
    <col min="9" max="9" width="12.5703125" style="3"/>
  </cols>
  <sheetData>
    <row r="1" spans="1:9" ht="21" x14ac:dyDescent="0.35">
      <c r="A1" s="1" t="s">
        <v>0</v>
      </c>
    </row>
    <row r="2" spans="1:9" s="4" customFormat="1" ht="15.75" x14ac:dyDescent="0.25">
      <c r="A2" s="6"/>
      <c r="B2" s="7"/>
      <c r="C2" s="7"/>
      <c r="D2" s="8"/>
      <c r="I2" s="7"/>
    </row>
    <row r="3" spans="1:9" ht="21" x14ac:dyDescent="0.35">
      <c r="A3" s="9" t="s">
        <v>1</v>
      </c>
      <c r="B3" s="10"/>
    </row>
    <row r="4" spans="1:9" ht="21" x14ac:dyDescent="0.35">
      <c r="A4" s="11" t="s">
        <v>2</v>
      </c>
      <c r="B4" s="17" t="s">
        <v>3</v>
      </c>
      <c r="C4" s="17" t="s">
        <v>4</v>
      </c>
      <c r="D4" s="71" t="s">
        <v>5</v>
      </c>
      <c r="E4" s="72" t="s">
        <v>91</v>
      </c>
    </row>
    <row r="5" spans="1:9" x14ac:dyDescent="0.3">
      <c r="A5" s="13" t="s">
        <v>6</v>
      </c>
      <c r="B5" s="12">
        <v>150</v>
      </c>
      <c r="C5" s="12">
        <v>150</v>
      </c>
      <c r="D5" s="66">
        <v>42.06</v>
      </c>
      <c r="E5" s="66">
        <f>D5-C5</f>
        <v>-107.94</v>
      </c>
    </row>
    <row r="6" spans="1:9" x14ac:dyDescent="0.3">
      <c r="A6" s="13" t="s">
        <v>7</v>
      </c>
      <c r="B6" s="12">
        <v>150</v>
      </c>
      <c r="C6" s="12">
        <v>150</v>
      </c>
      <c r="D6" s="66">
        <v>0</v>
      </c>
      <c r="E6" s="66">
        <f t="shared" ref="E6:E9" si="0">D6-C6</f>
        <v>-150</v>
      </c>
    </row>
    <row r="7" spans="1:9" x14ac:dyDescent="0.3">
      <c r="A7" s="13" t="s">
        <v>8</v>
      </c>
      <c r="B7" s="12">
        <v>750</v>
      </c>
      <c r="C7" s="12">
        <v>750</v>
      </c>
      <c r="D7" s="66">
        <v>252</v>
      </c>
      <c r="E7" s="66">
        <f t="shared" si="0"/>
        <v>-498</v>
      </c>
    </row>
    <row r="8" spans="1:9" x14ac:dyDescent="0.3">
      <c r="A8" s="14" t="s">
        <v>9</v>
      </c>
      <c r="B8" s="15">
        <v>2500</v>
      </c>
      <c r="C8" s="12">
        <v>1000</v>
      </c>
      <c r="D8" s="66">
        <v>0</v>
      </c>
      <c r="E8" s="66">
        <f t="shared" si="0"/>
        <v>-1000</v>
      </c>
    </row>
    <row r="9" spans="1:9" x14ac:dyDescent="0.3">
      <c r="A9" s="16" t="s">
        <v>10</v>
      </c>
      <c r="B9" s="17">
        <f>SUM(B5:B8)</f>
        <v>3550</v>
      </c>
      <c r="C9" s="17">
        <f>SUM(C5:C8)</f>
        <v>2050</v>
      </c>
      <c r="D9" s="67">
        <f>D5+D6+D7+D8</f>
        <v>294.06</v>
      </c>
      <c r="E9" s="73">
        <f t="shared" si="0"/>
        <v>-1755.94</v>
      </c>
    </row>
    <row r="10" spans="1:9" x14ac:dyDescent="0.3">
      <c r="A10" s="18"/>
      <c r="B10" s="19"/>
      <c r="C10" s="12"/>
      <c r="D10" s="69"/>
      <c r="E10" s="65"/>
    </row>
    <row r="11" spans="1:9" ht="21" x14ac:dyDescent="0.35">
      <c r="A11" s="11" t="s">
        <v>11</v>
      </c>
      <c r="B11" s="19"/>
      <c r="C11" s="12"/>
      <c r="D11" s="69"/>
      <c r="E11" s="65"/>
    </row>
    <row r="12" spans="1:9" x14ac:dyDescent="0.3">
      <c r="A12" s="13" t="s">
        <v>12</v>
      </c>
      <c r="B12" s="12"/>
      <c r="C12" s="12">
        <v>5000</v>
      </c>
      <c r="D12" s="66">
        <v>0</v>
      </c>
      <c r="E12" s="66">
        <f t="shared" ref="E12:E18" si="1">D12-C12</f>
        <v>-5000</v>
      </c>
    </row>
    <row r="13" spans="1:9" x14ac:dyDescent="0.3">
      <c r="A13" s="13" t="s">
        <v>13</v>
      </c>
      <c r="B13" s="12"/>
      <c r="C13" s="12">
        <v>2500</v>
      </c>
      <c r="D13" s="66">
        <v>2500</v>
      </c>
      <c r="E13" s="66">
        <f t="shared" si="1"/>
        <v>0</v>
      </c>
    </row>
    <row r="14" spans="1:9" x14ac:dyDescent="0.3">
      <c r="A14" s="13" t="s">
        <v>14</v>
      </c>
      <c r="B14" s="12"/>
      <c r="C14" s="12">
        <v>1200</v>
      </c>
      <c r="D14" s="66">
        <v>0</v>
      </c>
      <c r="E14" s="66">
        <f t="shared" si="1"/>
        <v>-1200</v>
      </c>
    </row>
    <row r="15" spans="1:9" x14ac:dyDescent="0.3">
      <c r="A15" s="13" t="s">
        <v>15</v>
      </c>
      <c r="B15" s="20">
        <v>1000</v>
      </c>
      <c r="C15" s="12">
        <v>0</v>
      </c>
      <c r="D15" s="66">
        <v>0</v>
      </c>
      <c r="E15" s="66">
        <f t="shared" si="1"/>
        <v>0</v>
      </c>
    </row>
    <row r="16" spans="1:9" x14ac:dyDescent="0.3">
      <c r="A16" s="13" t="s">
        <v>16</v>
      </c>
      <c r="B16" s="12">
        <v>1000</v>
      </c>
      <c r="C16" s="12">
        <v>500</v>
      </c>
      <c r="D16" s="66">
        <v>0</v>
      </c>
      <c r="E16" s="66">
        <f t="shared" si="1"/>
        <v>-500</v>
      </c>
    </row>
    <row r="17" spans="1:5" x14ac:dyDescent="0.3">
      <c r="A17" s="13" t="s">
        <v>17</v>
      </c>
      <c r="B17" s="12">
        <v>200</v>
      </c>
      <c r="C17" s="12">
        <v>200</v>
      </c>
      <c r="D17" s="66">
        <v>0</v>
      </c>
      <c r="E17" s="66">
        <f t="shared" si="1"/>
        <v>-200</v>
      </c>
    </row>
    <row r="18" spans="1:5" x14ac:dyDescent="0.3">
      <c r="A18" s="21" t="s">
        <v>18</v>
      </c>
      <c r="B18" s="22"/>
      <c r="C18" s="12">
        <v>300</v>
      </c>
      <c r="D18" s="66">
        <v>0</v>
      </c>
      <c r="E18" s="66">
        <f t="shared" si="1"/>
        <v>-300</v>
      </c>
    </row>
    <row r="19" spans="1:5" x14ac:dyDescent="0.3">
      <c r="A19" s="16" t="s">
        <v>10</v>
      </c>
      <c r="B19" s="17">
        <f>SUM(B12:B18)</f>
        <v>2200</v>
      </c>
      <c r="C19" s="17">
        <f>SUM(C12:C18)</f>
        <v>9700</v>
      </c>
      <c r="D19" s="73">
        <f>D12+D13+D14+D15+D16+D17+D18</f>
        <v>2500</v>
      </c>
      <c r="E19" s="73">
        <f>E12+E13+E14+E15+E16+E17+E18</f>
        <v>-7200</v>
      </c>
    </row>
    <row r="20" spans="1:5" x14ac:dyDescent="0.3">
      <c r="A20" s="18"/>
      <c r="B20" s="19"/>
      <c r="C20" s="12"/>
      <c r="D20" s="69"/>
      <c r="E20" s="65"/>
    </row>
    <row r="21" spans="1:5" ht="21" x14ac:dyDescent="0.35">
      <c r="A21" s="11" t="s">
        <v>19</v>
      </c>
      <c r="B21" s="19"/>
      <c r="C21" s="12"/>
      <c r="D21" s="69"/>
      <c r="E21" s="65"/>
    </row>
    <row r="22" spans="1:5" x14ac:dyDescent="0.3">
      <c r="A22" s="13" t="s">
        <v>20</v>
      </c>
      <c r="B22" s="12">
        <v>4650</v>
      </c>
      <c r="C22" s="12">
        <v>5400</v>
      </c>
      <c r="D22" s="75">
        <v>5250</v>
      </c>
      <c r="E22" s="66">
        <f t="shared" ref="E22:E37" si="2">D22-C22</f>
        <v>-150</v>
      </c>
    </row>
    <row r="23" spans="1:5" x14ac:dyDescent="0.3">
      <c r="A23" s="13" t="s">
        <v>21</v>
      </c>
      <c r="B23" s="12">
        <v>2457</v>
      </c>
      <c r="C23" s="12">
        <v>2000</v>
      </c>
      <c r="D23" s="76">
        <v>0</v>
      </c>
      <c r="E23" s="66">
        <f t="shared" si="2"/>
        <v>-2000</v>
      </c>
    </row>
    <row r="24" spans="1:5" x14ac:dyDescent="0.3">
      <c r="A24" s="13" t="s">
        <v>22</v>
      </c>
      <c r="B24" s="12">
        <v>2457</v>
      </c>
      <c r="C24" s="12">
        <v>2000</v>
      </c>
      <c r="D24" s="76">
        <v>0</v>
      </c>
      <c r="E24" s="66">
        <f t="shared" si="2"/>
        <v>-2000</v>
      </c>
    </row>
    <row r="25" spans="1:5" x14ac:dyDescent="0.3">
      <c r="A25" s="13" t="s">
        <v>23</v>
      </c>
      <c r="B25" s="12">
        <v>2457</v>
      </c>
      <c r="C25" s="12">
        <v>2000</v>
      </c>
      <c r="D25" s="76">
        <v>0</v>
      </c>
      <c r="E25" s="66">
        <f t="shared" si="2"/>
        <v>-2000</v>
      </c>
    </row>
    <row r="26" spans="1:5" x14ac:dyDescent="0.3">
      <c r="A26" s="13" t="s">
        <v>24</v>
      </c>
      <c r="B26" s="12">
        <v>3791</v>
      </c>
      <c r="C26" s="12">
        <v>2000</v>
      </c>
      <c r="D26" s="76">
        <v>0</v>
      </c>
      <c r="E26" s="66">
        <f t="shared" si="2"/>
        <v>-2000</v>
      </c>
    </row>
    <row r="27" spans="1:5" x14ac:dyDescent="0.3">
      <c r="A27" s="13" t="s">
        <v>25</v>
      </c>
      <c r="B27" s="12">
        <v>3791</v>
      </c>
      <c r="C27" s="12">
        <v>2000</v>
      </c>
      <c r="D27" s="76">
        <v>0</v>
      </c>
      <c r="E27" s="66">
        <f t="shared" si="2"/>
        <v>-2000</v>
      </c>
    </row>
    <row r="28" spans="1:5" x14ac:dyDescent="0.3">
      <c r="A28" s="13" t="s">
        <v>26</v>
      </c>
      <c r="B28" s="12">
        <v>3791</v>
      </c>
      <c r="C28" s="12">
        <v>2000</v>
      </c>
      <c r="D28" s="66">
        <v>0</v>
      </c>
      <c r="E28" s="66">
        <f t="shared" si="2"/>
        <v>-2000</v>
      </c>
    </row>
    <row r="29" spans="1:5" x14ac:dyDescent="0.3">
      <c r="A29" s="13" t="s">
        <v>27</v>
      </c>
      <c r="B29" s="12"/>
      <c r="C29" s="12">
        <v>500</v>
      </c>
      <c r="D29" s="77">
        <v>0</v>
      </c>
      <c r="E29" s="66">
        <f t="shared" si="2"/>
        <v>-500</v>
      </c>
    </row>
    <row r="30" spans="1:5" x14ac:dyDescent="0.3">
      <c r="A30" s="13" t="s">
        <v>28</v>
      </c>
      <c r="B30" s="12"/>
      <c r="C30" s="23">
        <v>1000</v>
      </c>
      <c r="D30" s="77">
        <v>0</v>
      </c>
      <c r="E30" s="66">
        <f t="shared" si="2"/>
        <v>-1000</v>
      </c>
    </row>
    <row r="31" spans="1:5" x14ac:dyDescent="0.3">
      <c r="A31" s="13" t="s">
        <v>29</v>
      </c>
      <c r="B31" s="12">
        <v>1000</v>
      </c>
      <c r="C31" s="23">
        <v>1000</v>
      </c>
      <c r="D31" s="66">
        <v>0</v>
      </c>
      <c r="E31" s="66">
        <f t="shared" si="2"/>
        <v>-1000</v>
      </c>
    </row>
    <row r="32" spans="1:5" x14ac:dyDescent="0.3">
      <c r="A32" s="24" t="s">
        <v>30</v>
      </c>
      <c r="B32" s="25"/>
      <c r="C32" s="12">
        <v>500</v>
      </c>
      <c r="D32" s="66">
        <v>0</v>
      </c>
      <c r="E32" s="66">
        <f t="shared" si="2"/>
        <v>-500</v>
      </c>
    </row>
    <row r="33" spans="1:5" x14ac:dyDescent="0.3">
      <c r="A33" s="24" t="s">
        <v>31</v>
      </c>
      <c r="B33" s="25"/>
      <c r="C33" s="12"/>
      <c r="D33" s="66">
        <v>500</v>
      </c>
      <c r="E33" s="66">
        <f t="shared" si="2"/>
        <v>500</v>
      </c>
    </row>
    <row r="34" spans="1:5" x14ac:dyDescent="0.3">
      <c r="A34" s="13" t="s">
        <v>32</v>
      </c>
      <c r="B34" s="12">
        <v>600</v>
      </c>
      <c r="C34" s="12">
        <v>600</v>
      </c>
      <c r="D34" s="66">
        <v>666.61</v>
      </c>
      <c r="E34" s="66">
        <f t="shared" si="2"/>
        <v>66.610000000000014</v>
      </c>
    </row>
    <row r="35" spans="1:5" x14ac:dyDescent="0.3">
      <c r="A35" s="13" t="s">
        <v>33</v>
      </c>
      <c r="B35" s="12">
        <v>125</v>
      </c>
      <c r="C35" s="12">
        <v>125</v>
      </c>
      <c r="D35" s="66">
        <v>0</v>
      </c>
      <c r="E35" s="66">
        <f t="shared" si="2"/>
        <v>-125</v>
      </c>
    </row>
    <row r="36" spans="1:5" x14ac:dyDescent="0.3">
      <c r="A36" s="13" t="s">
        <v>34</v>
      </c>
      <c r="B36" s="12">
        <v>50</v>
      </c>
      <c r="C36" s="12">
        <v>50</v>
      </c>
      <c r="D36" s="78">
        <v>0</v>
      </c>
      <c r="E36" s="66">
        <f t="shared" si="2"/>
        <v>-50</v>
      </c>
    </row>
    <row r="37" spans="1:5" x14ac:dyDescent="0.3">
      <c r="A37" s="16" t="s">
        <v>10</v>
      </c>
      <c r="B37" s="17">
        <f>SUM(B22:B36)</f>
        <v>25169</v>
      </c>
      <c r="C37" s="17">
        <f>SUM(C22:C36)</f>
        <v>21175</v>
      </c>
      <c r="D37" s="79">
        <f>D22+D23+D24+D25+D26+D27+D28+D29+D30+D31+D32+D33+D34+D35+D36</f>
        <v>6416.61</v>
      </c>
      <c r="E37" s="73">
        <f t="shared" si="2"/>
        <v>-14758.39</v>
      </c>
    </row>
    <row r="38" spans="1:5" x14ac:dyDescent="0.3">
      <c r="A38" s="16"/>
      <c r="B38" s="17"/>
      <c r="C38" s="17"/>
      <c r="D38" s="69"/>
      <c r="E38" s="65"/>
    </row>
    <row r="39" spans="1:5" ht="21" x14ac:dyDescent="0.35">
      <c r="A39" s="11" t="s">
        <v>35</v>
      </c>
      <c r="B39" s="19"/>
      <c r="C39" s="12"/>
      <c r="D39" s="69"/>
      <c r="E39" s="65"/>
    </row>
    <row r="40" spans="1:5" x14ac:dyDescent="0.3">
      <c r="A40" s="13" t="s">
        <v>36</v>
      </c>
      <c r="B40" s="20">
        <v>1500</v>
      </c>
      <c r="C40" s="12">
        <v>1000</v>
      </c>
      <c r="D40" s="66">
        <v>0</v>
      </c>
      <c r="E40" s="66">
        <f t="shared" ref="E40:E45" si="3">D40-C40</f>
        <v>-1000</v>
      </c>
    </row>
    <row r="41" spans="1:5" x14ac:dyDescent="0.3">
      <c r="A41" s="13" t="s">
        <v>37</v>
      </c>
      <c r="B41" s="12">
        <v>600</v>
      </c>
      <c r="C41" s="12">
        <v>600</v>
      </c>
      <c r="D41" s="66">
        <v>0</v>
      </c>
      <c r="E41" s="66">
        <f t="shared" si="3"/>
        <v>-600</v>
      </c>
    </row>
    <row r="42" spans="1:5" x14ac:dyDescent="0.3">
      <c r="A42" s="13" t="s">
        <v>38</v>
      </c>
      <c r="B42" s="12">
        <v>450</v>
      </c>
      <c r="C42" s="12">
        <v>450</v>
      </c>
      <c r="D42" s="66">
        <v>212.56</v>
      </c>
      <c r="E42" s="66">
        <f t="shared" si="3"/>
        <v>-237.44</v>
      </c>
    </row>
    <row r="43" spans="1:5" x14ac:dyDescent="0.3">
      <c r="A43" s="13" t="s">
        <v>39</v>
      </c>
      <c r="B43" s="12">
        <v>630</v>
      </c>
      <c r="C43" s="12">
        <v>630</v>
      </c>
      <c r="D43" s="66">
        <v>35</v>
      </c>
      <c r="E43" s="66">
        <f t="shared" si="3"/>
        <v>-595</v>
      </c>
    </row>
    <row r="44" spans="1:5" x14ac:dyDescent="0.3">
      <c r="A44" s="13" t="s">
        <v>40</v>
      </c>
      <c r="B44" s="20">
        <v>300</v>
      </c>
      <c r="C44" s="12">
        <v>300</v>
      </c>
      <c r="D44" s="78">
        <v>0</v>
      </c>
      <c r="E44" s="66">
        <f t="shared" si="3"/>
        <v>-300</v>
      </c>
    </row>
    <row r="45" spans="1:5" x14ac:dyDescent="0.3">
      <c r="A45" s="16" t="s">
        <v>10</v>
      </c>
      <c r="B45" s="17">
        <f>SUM(B40:B44)</f>
        <v>3480</v>
      </c>
      <c r="C45" s="17">
        <f>SUM(C40:C44)</f>
        <v>2980</v>
      </c>
      <c r="D45" s="79">
        <f>D40+D41+D42+D43+D44</f>
        <v>247.56</v>
      </c>
      <c r="E45" s="73">
        <f t="shared" si="3"/>
        <v>-2732.44</v>
      </c>
    </row>
    <row r="46" spans="1:5" x14ac:dyDescent="0.3">
      <c r="A46" s="18"/>
      <c r="B46" s="26"/>
      <c r="C46" s="12"/>
      <c r="D46" s="69"/>
      <c r="E46" s="65"/>
    </row>
    <row r="47" spans="1:5" ht="21" x14ac:dyDescent="0.35">
      <c r="A47" s="11" t="s">
        <v>41</v>
      </c>
      <c r="B47" s="19"/>
      <c r="C47" s="12"/>
      <c r="D47" s="69"/>
      <c r="E47" s="65"/>
    </row>
    <row r="48" spans="1:5" x14ac:dyDescent="0.3">
      <c r="A48" s="13" t="s">
        <v>42</v>
      </c>
      <c r="B48" s="12">
        <v>18000</v>
      </c>
      <c r="C48" s="12">
        <v>18000</v>
      </c>
      <c r="D48" s="66">
        <v>500</v>
      </c>
      <c r="E48" s="66">
        <f t="shared" ref="E48:E55" si="4">D48-C48</f>
        <v>-17500</v>
      </c>
    </row>
    <row r="49" spans="1:5" x14ac:dyDescent="0.3">
      <c r="A49" s="13" t="s">
        <v>43</v>
      </c>
      <c r="B49" s="12">
        <v>750</v>
      </c>
      <c r="C49" s="12">
        <v>750</v>
      </c>
      <c r="D49" s="66">
        <f>203.89+354.48+158.05+146.97</f>
        <v>863.3900000000001</v>
      </c>
      <c r="E49" s="66">
        <f t="shared" si="4"/>
        <v>113.3900000000001</v>
      </c>
    </row>
    <row r="50" spans="1:5" x14ac:dyDescent="0.3">
      <c r="A50" s="13" t="s">
        <v>44</v>
      </c>
      <c r="B50" s="12">
        <v>150</v>
      </c>
      <c r="C50" s="12">
        <v>600</v>
      </c>
      <c r="D50" s="66">
        <v>75</v>
      </c>
      <c r="E50" s="66">
        <f t="shared" si="4"/>
        <v>-525</v>
      </c>
    </row>
    <row r="51" spans="1:5" x14ac:dyDescent="0.3">
      <c r="A51" s="27" t="s">
        <v>45</v>
      </c>
      <c r="B51" s="12">
        <v>0</v>
      </c>
      <c r="C51" s="12">
        <v>0</v>
      </c>
      <c r="D51" s="66">
        <v>0</v>
      </c>
      <c r="E51" s="66">
        <f t="shared" si="4"/>
        <v>0</v>
      </c>
    </row>
    <row r="52" spans="1:5" x14ac:dyDescent="0.3">
      <c r="A52" s="27" t="s">
        <v>46</v>
      </c>
      <c r="B52" s="12"/>
      <c r="C52" s="12">
        <v>1000</v>
      </c>
      <c r="D52" s="66">
        <v>0</v>
      </c>
      <c r="E52" s="66">
        <f t="shared" si="4"/>
        <v>-1000</v>
      </c>
    </row>
    <row r="53" spans="1:5" x14ac:dyDescent="0.3">
      <c r="A53" s="27" t="s">
        <v>47</v>
      </c>
      <c r="B53" s="12"/>
      <c r="C53" s="12">
        <v>1000</v>
      </c>
      <c r="D53" s="66">
        <v>0</v>
      </c>
      <c r="E53" s="66">
        <f t="shared" si="4"/>
        <v>-1000</v>
      </c>
    </row>
    <row r="54" spans="1:5" x14ac:dyDescent="0.3">
      <c r="A54" s="28" t="s">
        <v>48</v>
      </c>
      <c r="B54" s="23">
        <v>0</v>
      </c>
      <c r="C54" s="23">
        <v>0</v>
      </c>
      <c r="D54" s="66">
        <v>0</v>
      </c>
      <c r="E54" s="66">
        <f t="shared" si="4"/>
        <v>0</v>
      </c>
    </row>
    <row r="55" spans="1:5" x14ac:dyDescent="0.3">
      <c r="A55" s="16" t="s">
        <v>10</v>
      </c>
      <c r="B55" s="17">
        <f>SUM(B48:B54)</f>
        <v>18900</v>
      </c>
      <c r="C55" s="17">
        <f>SUM(C48:C54)</f>
        <v>21350</v>
      </c>
      <c r="D55" s="80">
        <f>D48+D49+D50+D51+D52+D53+D54</f>
        <v>1438.39</v>
      </c>
      <c r="E55" s="80">
        <f t="shared" si="4"/>
        <v>-19911.61</v>
      </c>
    </row>
    <row r="56" spans="1:5" x14ac:dyDescent="0.3">
      <c r="A56" s="18"/>
      <c r="B56" s="19"/>
      <c r="C56" s="12"/>
      <c r="D56" s="69"/>
      <c r="E56" s="65"/>
    </row>
    <row r="57" spans="1:5" ht="21" x14ac:dyDescent="0.35">
      <c r="A57" s="29" t="s">
        <v>49</v>
      </c>
      <c r="B57" s="17"/>
      <c r="C57" s="17"/>
      <c r="D57" s="69"/>
      <c r="E57" s="65"/>
    </row>
    <row r="58" spans="1:5" x14ac:dyDescent="0.3">
      <c r="A58" s="21" t="s">
        <v>50</v>
      </c>
      <c r="B58" s="12"/>
      <c r="C58" s="12">
        <v>9000</v>
      </c>
      <c r="D58" s="69">
        <v>0</v>
      </c>
      <c r="E58" s="66">
        <f t="shared" ref="E58:E65" si="5">D58-C58</f>
        <v>-9000</v>
      </c>
    </row>
    <row r="59" spans="1:5" x14ac:dyDescent="0.3">
      <c r="A59" s="30" t="s">
        <v>51</v>
      </c>
      <c r="B59" s="25"/>
      <c r="C59" s="12">
        <v>5000</v>
      </c>
      <c r="D59" s="69">
        <v>0</v>
      </c>
      <c r="E59" s="66">
        <f t="shared" si="5"/>
        <v>-5000</v>
      </c>
    </row>
    <row r="60" spans="1:5" x14ac:dyDescent="0.3">
      <c r="A60" s="21" t="s">
        <v>52</v>
      </c>
      <c r="B60" s="12"/>
      <c r="C60" s="12">
        <v>1200</v>
      </c>
      <c r="D60" s="69">
        <v>0</v>
      </c>
      <c r="E60" s="66">
        <f t="shared" si="5"/>
        <v>-1200</v>
      </c>
    </row>
    <row r="61" spans="1:5" x14ac:dyDescent="0.3">
      <c r="A61" s="21" t="s">
        <v>53</v>
      </c>
      <c r="B61" s="12"/>
      <c r="C61" s="12">
        <v>2000</v>
      </c>
      <c r="D61" s="69">
        <v>0</v>
      </c>
      <c r="E61" s="66">
        <f t="shared" si="5"/>
        <v>-2000</v>
      </c>
    </row>
    <row r="62" spans="1:5" x14ac:dyDescent="0.3">
      <c r="A62" s="21" t="s">
        <v>54</v>
      </c>
      <c r="B62" s="12"/>
      <c r="C62" s="12">
        <v>800</v>
      </c>
      <c r="D62" s="69">
        <v>0</v>
      </c>
      <c r="E62" s="66">
        <f t="shared" si="5"/>
        <v>-800</v>
      </c>
    </row>
    <row r="63" spans="1:5" x14ac:dyDescent="0.3">
      <c r="A63" s="21" t="s">
        <v>55</v>
      </c>
      <c r="B63" s="12"/>
      <c r="C63" s="12">
        <v>250</v>
      </c>
      <c r="D63" s="69">
        <v>0</v>
      </c>
      <c r="E63" s="66">
        <f t="shared" si="5"/>
        <v>-250</v>
      </c>
    </row>
    <row r="64" spans="1:5" x14ac:dyDescent="0.3">
      <c r="A64" s="21" t="s">
        <v>56</v>
      </c>
      <c r="B64" s="12"/>
      <c r="C64" s="12">
        <v>250</v>
      </c>
      <c r="D64" s="69">
        <v>0</v>
      </c>
      <c r="E64" s="66">
        <f t="shared" si="5"/>
        <v>-250</v>
      </c>
    </row>
    <row r="65" spans="1:9" s="4" customFormat="1" x14ac:dyDescent="0.3">
      <c r="A65" s="16" t="s">
        <v>10</v>
      </c>
      <c r="B65" s="12"/>
      <c r="C65" s="17">
        <f>SUM(C58:C64)</f>
        <v>18500</v>
      </c>
      <c r="D65" s="81">
        <f>D58+D59+D60+D61+D62+D63+D64</f>
        <v>0</v>
      </c>
      <c r="E65" s="80">
        <f t="shared" si="5"/>
        <v>-18500</v>
      </c>
      <c r="I65" s="3"/>
    </row>
    <row r="66" spans="1:9" x14ac:dyDescent="0.3">
      <c r="A66" s="31"/>
      <c r="B66" s="17"/>
      <c r="C66" s="17"/>
      <c r="D66" s="69"/>
      <c r="E66" s="65"/>
    </row>
    <row r="67" spans="1:9" ht="21" x14ac:dyDescent="0.35">
      <c r="A67" s="29" t="s">
        <v>57</v>
      </c>
      <c r="B67" s="17"/>
      <c r="C67" s="17"/>
      <c r="D67" s="69"/>
      <c r="E67" s="65"/>
    </row>
    <row r="68" spans="1:9" x14ac:dyDescent="0.3">
      <c r="A68" s="32" t="s">
        <v>58</v>
      </c>
      <c r="B68" s="33"/>
      <c r="C68" s="33">
        <v>2600</v>
      </c>
      <c r="D68" s="69">
        <v>0</v>
      </c>
      <c r="E68" s="66">
        <f t="shared" ref="E68:E73" si="6">D68-C68</f>
        <v>-2600</v>
      </c>
    </row>
    <row r="69" spans="1:9" x14ac:dyDescent="0.3">
      <c r="A69" s="21" t="s">
        <v>59</v>
      </c>
      <c r="B69" s="12"/>
      <c r="C69" s="12">
        <v>0</v>
      </c>
      <c r="D69" s="69">
        <v>0</v>
      </c>
      <c r="E69" s="66">
        <f t="shared" si="6"/>
        <v>0</v>
      </c>
    </row>
    <row r="70" spans="1:9" x14ac:dyDescent="0.3">
      <c r="A70" s="21" t="s">
        <v>60</v>
      </c>
      <c r="B70" s="22"/>
      <c r="C70" s="12">
        <v>0</v>
      </c>
      <c r="D70" s="69">
        <v>0</v>
      </c>
      <c r="E70" s="66">
        <f t="shared" si="6"/>
        <v>0</v>
      </c>
    </row>
    <row r="71" spans="1:9" x14ac:dyDescent="0.3">
      <c r="A71" s="21" t="s">
        <v>61</v>
      </c>
      <c r="B71" s="22"/>
      <c r="C71" s="12">
        <v>0</v>
      </c>
      <c r="D71" s="69">
        <v>0</v>
      </c>
      <c r="E71" s="66">
        <f t="shared" si="6"/>
        <v>0</v>
      </c>
    </row>
    <row r="72" spans="1:9" x14ac:dyDescent="0.3">
      <c r="A72" s="21" t="s">
        <v>62</v>
      </c>
      <c r="B72" s="22"/>
      <c r="C72" s="12">
        <v>0</v>
      </c>
      <c r="D72" s="69">
        <v>0</v>
      </c>
      <c r="E72" s="66">
        <f t="shared" si="6"/>
        <v>0</v>
      </c>
    </row>
    <row r="73" spans="1:9" x14ac:dyDescent="0.3">
      <c r="A73" s="16" t="s">
        <v>10</v>
      </c>
      <c r="B73" s="12"/>
      <c r="C73" s="17">
        <f>SUM(C68:C72)</f>
        <v>2600</v>
      </c>
      <c r="D73" s="82">
        <f>D68+D69+D70+D71+D72</f>
        <v>0</v>
      </c>
      <c r="E73" s="80">
        <f t="shared" si="6"/>
        <v>-2600</v>
      </c>
    </row>
    <row r="74" spans="1:9" ht="19.5" thickBot="1" x14ac:dyDescent="0.35">
      <c r="A74" s="34"/>
      <c r="B74" s="35"/>
      <c r="C74" s="36"/>
      <c r="D74" s="69"/>
      <c r="E74" s="65"/>
    </row>
    <row r="75" spans="1:9" ht="19.5" thickBot="1" x14ac:dyDescent="0.35">
      <c r="A75" s="37" t="s">
        <v>63</v>
      </c>
      <c r="B75" s="38">
        <f>SUM(B55,B45,B37,B19,B9)</f>
        <v>53299</v>
      </c>
      <c r="C75" s="38">
        <f>SUM(C73,C65,C55,C45,C37,C19,C9)</f>
        <v>78355</v>
      </c>
      <c r="D75" s="62">
        <f>SUM(D73,D65,D55,D45,D37,D19,D9)</f>
        <v>10896.619999999999</v>
      </c>
      <c r="E75" s="62">
        <f>SUM(E73,E65,E55,E45,E37,E19,E9)</f>
        <v>-67458.38</v>
      </c>
    </row>
    <row r="76" spans="1:9" x14ac:dyDescent="0.3">
      <c r="D76" s="69"/>
      <c r="E76" s="65"/>
    </row>
    <row r="77" spans="1:9" ht="21" x14ac:dyDescent="0.35">
      <c r="A77" s="39" t="s">
        <v>64</v>
      </c>
      <c r="D77" s="69"/>
      <c r="E77" s="65"/>
    </row>
    <row r="78" spans="1:9" ht="21" x14ac:dyDescent="0.35">
      <c r="A78" s="40" t="s">
        <v>65</v>
      </c>
      <c r="B78" s="12" t="s">
        <v>3</v>
      </c>
      <c r="C78" s="12" t="s">
        <v>4</v>
      </c>
      <c r="D78" s="69"/>
      <c r="E78" s="65"/>
    </row>
    <row r="79" spans="1:9" x14ac:dyDescent="0.3">
      <c r="A79" s="21" t="s">
        <v>66</v>
      </c>
      <c r="B79" s="12"/>
      <c r="C79" s="12">
        <v>9000</v>
      </c>
      <c r="D79" s="69">
        <v>0</v>
      </c>
      <c r="E79" s="66">
        <f t="shared" ref="E79:E83" si="7">D79-C79</f>
        <v>-9000</v>
      </c>
    </row>
    <row r="80" spans="1:9" x14ac:dyDescent="0.3">
      <c r="A80" s="21" t="s">
        <v>67</v>
      </c>
      <c r="B80" s="12"/>
      <c r="C80" s="12">
        <v>5000</v>
      </c>
      <c r="D80" s="69">
        <v>0</v>
      </c>
      <c r="E80" s="66">
        <f t="shared" si="7"/>
        <v>-5000</v>
      </c>
    </row>
    <row r="81" spans="1:9" x14ac:dyDescent="0.3">
      <c r="A81" s="21" t="s">
        <v>68</v>
      </c>
      <c r="B81" s="12"/>
      <c r="C81" s="12">
        <v>2000</v>
      </c>
      <c r="D81" s="69">
        <v>0</v>
      </c>
      <c r="E81" s="66">
        <f t="shared" si="7"/>
        <v>-2000</v>
      </c>
    </row>
    <row r="82" spans="1:9" x14ac:dyDescent="0.3">
      <c r="A82" s="21" t="s">
        <v>69</v>
      </c>
      <c r="B82" s="12"/>
      <c r="C82" s="12">
        <v>2500</v>
      </c>
      <c r="D82" s="69">
        <v>0</v>
      </c>
      <c r="E82" s="66">
        <f t="shared" si="7"/>
        <v>-2500</v>
      </c>
    </row>
    <row r="83" spans="1:9" s="4" customFormat="1" x14ac:dyDescent="0.3">
      <c r="A83" s="16" t="s">
        <v>10</v>
      </c>
      <c r="B83" s="12"/>
      <c r="C83" s="17">
        <f>SUM(C79:C82)</f>
        <v>18500</v>
      </c>
      <c r="D83" s="63">
        <f>SUM(D79:D82)</f>
        <v>0</v>
      </c>
      <c r="E83" s="80">
        <f t="shared" si="7"/>
        <v>-18500</v>
      </c>
      <c r="I83" s="3"/>
    </row>
    <row r="84" spans="1:9" x14ac:dyDescent="0.3">
      <c r="A84" s="21"/>
      <c r="B84" s="12"/>
      <c r="C84" s="41"/>
      <c r="D84" s="69"/>
      <c r="E84" s="65"/>
    </row>
    <row r="85" spans="1:9" ht="21" x14ac:dyDescent="0.35">
      <c r="A85" s="40" t="s">
        <v>70</v>
      </c>
      <c r="B85" s="12"/>
      <c r="C85" s="41"/>
      <c r="D85" s="69"/>
      <c r="E85" s="65"/>
    </row>
    <row r="86" spans="1:9" x14ac:dyDescent="0.3">
      <c r="A86" s="13" t="s">
        <v>42</v>
      </c>
      <c r="B86" s="12">
        <v>32000</v>
      </c>
      <c r="C86" s="33">
        <v>30000</v>
      </c>
      <c r="D86" s="69">
        <f>612.5+385+400+320+504.5+337.5+120.66+221+260+235+577.5+614+460+850+800</f>
        <v>6697.66</v>
      </c>
      <c r="E86" s="66">
        <f t="shared" ref="E86:E96" si="8">D86-C86</f>
        <v>-23302.34</v>
      </c>
    </row>
    <row r="87" spans="1:9" x14ac:dyDescent="0.3">
      <c r="A87" s="21" t="s">
        <v>43</v>
      </c>
      <c r="B87" s="23">
        <v>12000</v>
      </c>
      <c r="C87" s="23">
        <v>20500</v>
      </c>
      <c r="D87" s="69">
        <f>500+145.87+12859+361+3254.16+2500</f>
        <v>19620.03</v>
      </c>
      <c r="E87" s="66">
        <f t="shared" si="8"/>
        <v>-879.97000000000116</v>
      </c>
    </row>
    <row r="88" spans="1:9" x14ac:dyDescent="0.3">
      <c r="A88" s="24" t="s">
        <v>71</v>
      </c>
      <c r="B88" s="33"/>
      <c r="C88" s="33">
        <v>4000</v>
      </c>
      <c r="D88" s="69"/>
      <c r="E88" s="66">
        <f t="shared" si="8"/>
        <v>-4000</v>
      </c>
    </row>
    <row r="89" spans="1:9" x14ac:dyDescent="0.3">
      <c r="A89" s="24" t="s">
        <v>72</v>
      </c>
      <c r="B89" s="33">
        <v>0</v>
      </c>
      <c r="C89" s="33">
        <v>0</v>
      </c>
      <c r="D89" s="69">
        <f>5035.85-5035.85</f>
        <v>0</v>
      </c>
      <c r="E89" s="66">
        <f t="shared" si="8"/>
        <v>0</v>
      </c>
    </row>
    <row r="90" spans="1:9" x14ac:dyDescent="0.3">
      <c r="A90" s="24" t="s">
        <v>73</v>
      </c>
      <c r="B90" s="33"/>
      <c r="C90" s="33"/>
      <c r="D90" s="69">
        <v>194.7</v>
      </c>
      <c r="E90" s="66">
        <f t="shared" si="8"/>
        <v>194.7</v>
      </c>
    </row>
    <row r="91" spans="1:9" x14ac:dyDescent="0.3">
      <c r="A91" s="21" t="s">
        <v>74</v>
      </c>
      <c r="B91" s="12">
        <v>1000</v>
      </c>
      <c r="C91" s="33">
        <v>3000</v>
      </c>
      <c r="D91" s="69"/>
      <c r="E91" s="66">
        <f t="shared" si="8"/>
        <v>-3000</v>
      </c>
    </row>
    <row r="92" spans="1:9" x14ac:dyDescent="0.3">
      <c r="A92" s="21" t="s">
        <v>48</v>
      </c>
      <c r="B92" s="12">
        <v>1500</v>
      </c>
      <c r="C92" s="33">
        <v>2000</v>
      </c>
      <c r="D92" s="69">
        <v>663.2</v>
      </c>
      <c r="E92" s="66">
        <f t="shared" si="8"/>
        <v>-1336.8</v>
      </c>
    </row>
    <row r="93" spans="1:9" x14ac:dyDescent="0.3">
      <c r="A93" s="24" t="s">
        <v>75</v>
      </c>
      <c r="B93" s="12">
        <v>1500</v>
      </c>
      <c r="C93" s="33">
        <v>1500</v>
      </c>
      <c r="D93" s="69"/>
      <c r="E93" s="66">
        <f t="shared" si="8"/>
        <v>-1500</v>
      </c>
    </row>
    <row r="94" spans="1:9" x14ac:dyDescent="0.3">
      <c r="A94" s="24" t="s">
        <v>76</v>
      </c>
      <c r="B94" s="12"/>
      <c r="C94" s="33">
        <v>500</v>
      </c>
      <c r="D94" s="69">
        <f>54+14+46</f>
        <v>114</v>
      </c>
      <c r="E94" s="66">
        <f t="shared" si="8"/>
        <v>-386</v>
      </c>
    </row>
    <row r="95" spans="1:9" x14ac:dyDescent="0.3">
      <c r="A95" s="24" t="s">
        <v>77</v>
      </c>
      <c r="B95" s="20">
        <v>5000</v>
      </c>
      <c r="C95" s="33"/>
      <c r="D95" s="69"/>
      <c r="E95" s="66">
        <f t="shared" si="8"/>
        <v>0</v>
      </c>
      <c r="H95" t="s">
        <v>78</v>
      </c>
    </row>
    <row r="96" spans="1:9" x14ac:dyDescent="0.3">
      <c r="A96" s="27" t="s">
        <v>45</v>
      </c>
      <c r="B96" s="20">
        <v>1500</v>
      </c>
      <c r="C96" s="33">
        <v>0</v>
      </c>
      <c r="D96" s="69"/>
      <c r="E96" s="66">
        <f t="shared" si="8"/>
        <v>0</v>
      </c>
    </row>
    <row r="97" spans="1:5" x14ac:dyDescent="0.3">
      <c r="A97" s="16" t="s">
        <v>10</v>
      </c>
      <c r="B97" s="42">
        <f>SUM(B86:B96)</f>
        <v>54500</v>
      </c>
      <c r="C97" s="42">
        <f>SUM(C86:C96)</f>
        <v>61500</v>
      </c>
      <c r="D97" s="63">
        <f>SUM(D86:D96)</f>
        <v>27289.59</v>
      </c>
      <c r="E97" s="63">
        <f>SUM(E86:E96)</f>
        <v>-34210.410000000003</v>
      </c>
    </row>
    <row r="98" spans="1:5" ht="19.5" thickBot="1" x14ac:dyDescent="0.35">
      <c r="A98" s="43"/>
      <c r="B98" s="44"/>
      <c r="C98" s="35"/>
      <c r="D98" s="69"/>
      <c r="E98" s="65"/>
    </row>
    <row r="99" spans="1:5" ht="19.5" thickBot="1" x14ac:dyDescent="0.35">
      <c r="A99" s="45" t="s">
        <v>79</v>
      </c>
      <c r="B99" s="46">
        <f>SUM(B80:B97)/2</f>
        <v>54500</v>
      </c>
      <c r="C99" s="46">
        <f>SUM(C97,C83)</f>
        <v>80000</v>
      </c>
      <c r="D99" s="64">
        <f>SUM(D97,D83)</f>
        <v>27289.59</v>
      </c>
      <c r="E99" s="64">
        <f>SUM(E97,E83)</f>
        <v>-52710.41</v>
      </c>
    </row>
    <row r="100" spans="1:5" x14ac:dyDescent="0.3">
      <c r="A100" s="47"/>
      <c r="B100" s="48"/>
      <c r="C100" s="49"/>
      <c r="D100" s="69"/>
      <c r="E100" s="65"/>
    </row>
    <row r="101" spans="1:5" ht="21" x14ac:dyDescent="0.35">
      <c r="A101" s="50" t="s">
        <v>80</v>
      </c>
      <c r="B101" s="10"/>
      <c r="C101" s="51"/>
      <c r="D101" s="69"/>
      <c r="E101" s="65"/>
    </row>
    <row r="102" spans="1:5" ht="21" x14ac:dyDescent="0.35">
      <c r="A102" s="40" t="s">
        <v>81</v>
      </c>
      <c r="B102" s="12" t="s">
        <v>3</v>
      </c>
      <c r="C102" s="12" t="s">
        <v>4</v>
      </c>
      <c r="D102" s="69"/>
      <c r="E102" s="65"/>
    </row>
    <row r="103" spans="1:5" x14ac:dyDescent="0.3">
      <c r="A103" s="21" t="s">
        <v>82</v>
      </c>
      <c r="B103" s="12"/>
      <c r="C103" s="12">
        <v>18000</v>
      </c>
      <c r="D103" s="69"/>
      <c r="E103" s="65"/>
    </row>
    <row r="104" spans="1:5" x14ac:dyDescent="0.3">
      <c r="A104" s="21" t="s">
        <v>83</v>
      </c>
      <c r="B104" s="12"/>
      <c r="C104" s="12">
        <v>4278</v>
      </c>
      <c r="D104" s="69"/>
      <c r="E104" s="65"/>
    </row>
    <row r="105" spans="1:5" x14ac:dyDescent="0.3">
      <c r="A105" s="21" t="s">
        <v>84</v>
      </c>
      <c r="B105" s="33"/>
      <c r="C105" s="33">
        <v>1849</v>
      </c>
      <c r="D105" s="69"/>
      <c r="E105" s="65"/>
    </row>
    <row r="106" spans="1:5" x14ac:dyDescent="0.3">
      <c r="A106" s="16" t="s">
        <v>85</v>
      </c>
      <c r="B106" s="42"/>
      <c r="C106" s="42">
        <f>SUM(C103:C105)</f>
        <v>24127</v>
      </c>
      <c r="D106" s="69"/>
      <c r="E106" s="65"/>
    </row>
    <row r="107" spans="1:5" x14ac:dyDescent="0.3">
      <c r="A107" s="52"/>
      <c r="B107" s="53"/>
      <c r="C107" s="54"/>
      <c r="D107" s="69"/>
      <c r="E107" s="65"/>
    </row>
    <row r="108" spans="1:5" ht="21" x14ac:dyDescent="0.35">
      <c r="A108" s="40" t="s">
        <v>86</v>
      </c>
      <c r="B108" s="12" t="s">
        <v>3</v>
      </c>
      <c r="C108" s="12" t="s">
        <v>4</v>
      </c>
      <c r="D108" s="69"/>
      <c r="E108" s="65"/>
    </row>
    <row r="109" spans="1:5" x14ac:dyDescent="0.3">
      <c r="A109" s="55" t="s">
        <v>87</v>
      </c>
      <c r="B109" s="42"/>
      <c r="C109" s="42">
        <f>C$106</f>
        <v>24127</v>
      </c>
      <c r="D109" s="69"/>
      <c r="E109" s="65"/>
    </row>
    <row r="110" spans="1:5" x14ac:dyDescent="0.3">
      <c r="A110" s="55" t="s">
        <v>88</v>
      </c>
      <c r="B110" s="56"/>
      <c r="C110" s="56">
        <f>C$99</f>
        <v>80000</v>
      </c>
      <c r="D110" s="70">
        <f>D99</f>
        <v>27289.59</v>
      </c>
      <c r="E110" s="65"/>
    </row>
    <row r="111" spans="1:5" ht="19.5" thickBot="1" x14ac:dyDescent="0.35">
      <c r="A111" s="58" t="s">
        <v>89</v>
      </c>
      <c r="B111" s="36"/>
      <c r="C111" s="36">
        <f>-C75</f>
        <v>-78355</v>
      </c>
      <c r="D111" s="70">
        <f>D75</f>
        <v>10896.619999999999</v>
      </c>
      <c r="E111" s="65"/>
    </row>
    <row r="112" spans="1:5" ht="19.5" thickBot="1" x14ac:dyDescent="0.35">
      <c r="A112" s="59" t="s">
        <v>90</v>
      </c>
      <c r="B112" s="60"/>
      <c r="C112" s="60">
        <f>SUM(C109:C111)</f>
        <v>25772</v>
      </c>
      <c r="D112" s="70">
        <f>D110-D111</f>
        <v>16392.97</v>
      </c>
      <c r="E112" s="65"/>
    </row>
    <row r="113" spans="1:5" x14ac:dyDescent="0.3">
      <c r="A113" s="61"/>
      <c r="B113" s="48"/>
      <c r="C113" s="49"/>
      <c r="D113" s="69">
        <v>3000</v>
      </c>
      <c r="E113" s="65"/>
    </row>
    <row r="114" spans="1:5" x14ac:dyDescent="0.3">
      <c r="D114" s="70">
        <f>D112-D113</f>
        <v>13392.970000000001</v>
      </c>
      <c r="E114" s="6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As of 2-7</vt:lpstr>
      <vt:lpstr>As of January 23 with Garden</vt:lpstr>
      <vt:lpstr>As of January 23</vt:lpstr>
      <vt:lpstr>As of November 28</vt:lpstr>
      <vt:lpstr>Sheet2</vt:lpstr>
      <vt:lpstr>'As of 2-7'!Print_Area</vt:lpstr>
      <vt:lpstr>'As of January 23 with Garden'!Print_Area</vt:lpstr>
      <vt:lpstr>'As of 2-7'!Print_Titles</vt:lpstr>
      <vt:lpstr>'As of January 23 with Garden'!Print_Titles</vt:lpstr>
    </vt:vector>
  </TitlesOfParts>
  <Company>Dixon Hughes Goodman LLP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Ashley</dc:creator>
  <cp:lastModifiedBy>Smith, Ashley</cp:lastModifiedBy>
  <cp:lastPrinted>2017-01-23T21:25:39Z</cp:lastPrinted>
  <dcterms:created xsi:type="dcterms:W3CDTF">2017-01-23T17:15:14Z</dcterms:created>
  <dcterms:modified xsi:type="dcterms:W3CDTF">2017-02-07T19:06:36Z</dcterms:modified>
</cp:coreProperties>
</file>